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10" windowWidth="15590" windowHeight="6830" tabRatio="735" activeTab="3"/>
  </bookViews>
  <sheets>
    <sheet name="Top Sheet" sheetId="9" r:id="rId1"/>
    <sheet name="Summary New Year" sheetId="20" state="hidden" r:id="rId2"/>
    <sheet name="Annual Report" sheetId="35" r:id="rId3"/>
    <sheet name="New Year-Full Year" sheetId="1" r:id="rId4"/>
    <sheet name="Analysis of Rates" sheetId="36" state="hidden" r:id="rId5"/>
    <sheet name="Technology" sheetId="48" state="hidden" r:id="rId6"/>
    <sheet name="Tech Budget" sheetId="54" r:id="rId7"/>
    <sheet name="Year End Overage" sheetId="49" r:id="rId8"/>
    <sheet name="Year End tasks" sheetId="55" r:id="rId9"/>
    <sheet name="John" sheetId="39" r:id="rId10"/>
    <sheet name="John - Housing" sheetId="50" r:id="rId11"/>
    <sheet name="Ryan" sheetId="51" r:id="rId12"/>
    <sheet name="Ryan - Housing" sheetId="53" r:id="rId13"/>
    <sheet name="Ryan G - First Pay" sheetId="52" state="hidden" r:id="rId14"/>
    <sheet name="Band and Other Music" sheetId="22" r:id="rId15"/>
    <sheet name="Income Pacing" sheetId="46" r:id="rId16"/>
    <sheet name="Staff section for Cheryl" sheetId="56" r:id="rId17"/>
    <sheet name="Rates for Cheryl" sheetId="24" r:id="rId18"/>
    <sheet name="Comparison" sheetId="32" state="hidden" r:id="rId19"/>
    <sheet name="10 year Experience" sheetId="45" state="hidden" r:id="rId20"/>
    <sheet name="Pastor Kelly" sheetId="29" state="hidden" r:id="rId21"/>
    <sheet name="Interim Pastor" sheetId="43" state="hidden" r:id="rId22"/>
    <sheet name="2023 Est-P Kelly" sheetId="37" state="hidden" r:id="rId23"/>
    <sheet name="Glen and Cheryl" sheetId="38" state="hidden" r:id="rId24"/>
    <sheet name="Pie Chart" sheetId="27" state="hidden" r:id="rId25"/>
    <sheet name="Expenses" sheetId="28" state="hidden" r:id="rId26"/>
    <sheet name="Benevolence" sheetId="31" state="hidden" r:id="rId27"/>
    <sheet name="Dec Council Meeting" sheetId="34" state="hidden" r:id="rId28"/>
    <sheet name="Options" sheetId="33" state="hidden" r:id="rId29"/>
    <sheet name="PK to Cheryl" sheetId="41" state="hidden" r:id="rId30"/>
    <sheet name="Pastor Karen" sheetId="21" state="hidden" r:id="rId31"/>
    <sheet name="Cheryl Salary Range" sheetId="42" state="hidden" r:id="rId32"/>
  </sheets>
  <externalReferences>
    <externalReference r:id="rId33"/>
  </externalReferences>
  <definedNames>
    <definedName name="Bud_Yr">'Top Sheet'!$C$2</definedName>
    <definedName name="dddd" localSheetId="19">#REF!</definedName>
    <definedName name="dddd" localSheetId="4">#REF!</definedName>
    <definedName name="dddd" localSheetId="21">#REF!</definedName>
    <definedName name="dddd" localSheetId="9">#REF!</definedName>
    <definedName name="dddd" localSheetId="20">#REF!</definedName>
    <definedName name="dddd" localSheetId="29">#REF!</definedName>
    <definedName name="dddd" localSheetId="11">#REF!</definedName>
    <definedName name="dddd" localSheetId="12">#REF!</definedName>
    <definedName name="dddd" localSheetId="16">#REF!</definedName>
    <definedName name="dddd" localSheetId="6">#REF!</definedName>
    <definedName name="dddd">#REF!</definedName>
    <definedName name="_xlnm.Print_Titles" localSheetId="25">Expenses!$2:$4</definedName>
    <definedName name="_xlnm.Print_Titles" localSheetId="3">'New Year-Full Year'!$2:$4</definedName>
    <definedName name="_xlnm.Print_Titles" localSheetId="16">'Staff section for Cheryl'!$2:$4</definedName>
    <definedName name="_xlnm.Print_Titles" localSheetId="1">'Summary New Year'!$1:$5</definedName>
  </definedNames>
  <calcPr calcId="145621"/>
</workbook>
</file>

<file path=xl/calcChain.xml><?xml version="1.0" encoding="utf-8"?>
<calcChain xmlns="http://schemas.openxmlformats.org/spreadsheetml/2006/main">
  <c r="S25" i="1" l="1"/>
  <c r="T8" i="51" l="1"/>
  <c r="M17" i="51"/>
  <c r="Q125" i="1"/>
  <c r="Q118" i="1"/>
  <c r="W79" i="1"/>
  <c r="V79" i="1"/>
  <c r="W69" i="1"/>
  <c r="V69" i="1"/>
  <c r="Q126" i="1" l="1"/>
  <c r="X47" i="1"/>
  <c r="T47" i="1"/>
  <c r="S47" i="1"/>
  <c r="X46" i="1"/>
  <c r="T46" i="1"/>
  <c r="S46" i="1"/>
  <c r="W181" i="1"/>
  <c r="W180" i="1"/>
  <c r="W179" i="1"/>
  <c r="W178" i="1"/>
  <c r="W177" i="1"/>
  <c r="W176" i="1"/>
  <c r="W175" i="1"/>
  <c r="S182" i="1"/>
  <c r="V18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V172" i="1"/>
  <c r="W182" i="1" l="1"/>
  <c r="W172" i="1"/>
  <c r="T164" i="1"/>
  <c r="T157" i="1"/>
  <c r="T146" i="1"/>
  <c r="T151" i="1"/>
  <c r="X102" i="1"/>
  <c r="R102" i="1"/>
  <c r="T102" i="1" s="1"/>
  <c r="Q102" i="1"/>
  <c r="L102" i="1"/>
  <c r="H102" i="1"/>
  <c r="X101" i="1"/>
  <c r="R101" i="1"/>
  <c r="L101" i="1"/>
  <c r="H101" i="1"/>
  <c r="S102" i="1" l="1"/>
  <c r="Q101" i="1"/>
  <c r="S101" i="1" s="1"/>
  <c r="R106" i="1"/>
  <c r="Q86" i="1"/>
  <c r="Q90" i="1"/>
  <c r="Q89" i="1"/>
  <c r="T101" i="1" l="1"/>
  <c r="R96" i="1"/>
  <c r="Q92" i="1"/>
  <c r="R92" i="1"/>
  <c r="I55" i="22"/>
  <c r="I33" i="22"/>
  <c r="I35" i="22" s="1"/>
  <c r="I25" i="22"/>
  <c r="I24" i="22"/>
  <c r="I51" i="22" s="1"/>
  <c r="I17" i="22"/>
  <c r="I16" i="22"/>
  <c r="I6" i="22"/>
  <c r="I47" i="22" s="1"/>
  <c r="I49" i="22" s="1"/>
  <c r="I52" i="22" s="1"/>
  <c r="Q84" i="1"/>
  <c r="Q80" i="1"/>
  <c r="Q79" i="1"/>
  <c r="I41" i="22" l="1"/>
  <c r="I12" i="22"/>
  <c r="I14" i="22" s="1"/>
  <c r="I18" i="22" s="1"/>
  <c r="I20" i="22" s="1"/>
  <c r="I28" i="22"/>
  <c r="I43" i="22"/>
  <c r="I44" i="22" s="1"/>
  <c r="I37" i="22"/>
  <c r="I38" i="22" s="1"/>
  <c r="R86" i="1"/>
  <c r="R84" i="1"/>
  <c r="R80" i="1"/>
  <c r="R79" i="1"/>
  <c r="Q76" i="1"/>
  <c r="Q74" i="1"/>
  <c r="Q70" i="1"/>
  <c r="Q69" i="1"/>
  <c r="F7" i="51"/>
  <c r="J36" i="51"/>
  <c r="J29" i="51"/>
  <c r="J22" i="51"/>
  <c r="M16" i="51"/>
  <c r="M18" i="51" s="1"/>
  <c r="F9" i="51" s="1"/>
  <c r="M12" i="51"/>
  <c r="M13" i="51" s="1"/>
  <c r="M14" i="51" s="1"/>
  <c r="M7" i="51"/>
  <c r="M8" i="51" s="1"/>
  <c r="M9" i="51" s="1"/>
  <c r="F28" i="51"/>
  <c r="F27" i="51"/>
  <c r="F26" i="51"/>
  <c r="F29" i="51" s="1"/>
  <c r="F21" i="51"/>
  <c r="F19" i="51"/>
  <c r="F15" i="51"/>
  <c r="F11" i="51"/>
  <c r="H7" i="39"/>
  <c r="O12" i="39"/>
  <c r="O14" i="39" s="1"/>
  <c r="O15" i="39" s="1"/>
  <c r="H9" i="39" s="1"/>
  <c r="L37" i="39"/>
  <c r="L31" i="39"/>
  <c r="L24" i="39"/>
  <c r="O7" i="39"/>
  <c r="O10" i="39" s="1"/>
  <c r="R76" i="1"/>
  <c r="R75" i="1"/>
  <c r="R74" i="1"/>
  <c r="R73" i="1"/>
  <c r="R72" i="1"/>
  <c r="R71" i="1"/>
  <c r="R70" i="1"/>
  <c r="R69" i="1"/>
  <c r="H28" i="39"/>
  <c r="H29" i="39" s="1"/>
  <c r="H27" i="39"/>
  <c r="H26" i="39"/>
  <c r="H21" i="39"/>
  <c r="H19" i="39"/>
  <c r="H15" i="39"/>
  <c r="H11" i="39"/>
  <c r="H6" i="39"/>
  <c r="R59" i="1"/>
  <c r="B31" i="54"/>
  <c r="F31" i="54"/>
  <c r="I31" i="54"/>
  <c r="I54" i="54"/>
  <c r="I47" i="54"/>
  <c r="I37" i="54"/>
  <c r="I36" i="54"/>
  <c r="I35" i="54"/>
  <c r="I34" i="54"/>
  <c r="I33" i="54"/>
  <c r="I32" i="54"/>
  <c r="I38" i="54" s="1"/>
  <c r="I28" i="54"/>
  <c r="I24" i="54"/>
  <c r="Q59" i="1" s="1"/>
  <c r="R62" i="1"/>
  <c r="R61" i="1"/>
  <c r="R7" i="1"/>
  <c r="G4" i="56"/>
  <c r="F10" i="51" l="1"/>
  <c r="F12" i="51" s="1"/>
  <c r="Q85" i="1"/>
  <c r="H10" i="39"/>
  <c r="Q75" i="1"/>
  <c r="I45" i="22"/>
  <c r="I56" i="22" s="1"/>
  <c r="Q93" i="1" s="1"/>
  <c r="I29" i="22"/>
  <c r="I26" i="22"/>
  <c r="I30" i="22" s="1"/>
  <c r="F6" i="51"/>
  <c r="H12" i="39"/>
  <c r="E12" i="35"/>
  <c r="W118" i="1"/>
  <c r="R182" i="1"/>
  <c r="Q182" i="1"/>
  <c r="T181" i="1"/>
  <c r="S60" i="1"/>
  <c r="X60" i="1"/>
  <c r="F13" i="51" l="1"/>
  <c r="F22" i="51" s="1"/>
  <c r="Q81" i="1"/>
  <c r="H13" i="39"/>
  <c r="H16" i="39" s="1"/>
  <c r="Q72" i="1" s="1"/>
  <c r="Q71" i="1"/>
  <c r="I57" i="22"/>
  <c r="F20" i="51"/>
  <c r="T60" i="1"/>
  <c r="D10" i="49"/>
  <c r="F16" i="51" l="1"/>
  <c r="Q82" i="1" s="1"/>
  <c r="H20" i="39"/>
  <c r="H22" i="39"/>
  <c r="F23" i="51"/>
  <c r="F54" i="54"/>
  <c r="D35" i="54"/>
  <c r="E35" i="54" s="1"/>
  <c r="F35" i="54" s="1"/>
  <c r="D34" i="54"/>
  <c r="D38" i="54" s="1"/>
  <c r="F41" i="54"/>
  <c r="F47" i="54" s="1"/>
  <c r="F26" i="54"/>
  <c r="F28" i="54" s="1"/>
  <c r="B24" i="54"/>
  <c r="F24" i="54"/>
  <c r="B27" i="54"/>
  <c r="B26" i="54"/>
  <c r="E33" i="54"/>
  <c r="F33" i="54" s="1"/>
  <c r="E36" i="54"/>
  <c r="F36" i="54" s="1"/>
  <c r="E37" i="54"/>
  <c r="F37" i="54" s="1"/>
  <c r="E32" i="54"/>
  <c r="F32" i="54" s="1"/>
  <c r="C38" i="54"/>
  <c r="B38" i="54"/>
  <c r="H23" i="39" l="1"/>
  <c r="H31" i="39" s="1"/>
  <c r="H32" i="39" s="1"/>
  <c r="F31" i="51"/>
  <c r="Q83" i="1"/>
  <c r="E34" i="54"/>
  <c r="F34" i="54" s="1"/>
  <c r="F38" i="54" s="1"/>
  <c r="B28" i="54"/>
  <c r="T23" i="51"/>
  <c r="Q73" i="1" l="1"/>
  <c r="E38" i="54"/>
  <c r="V23" i="39"/>
  <c r="T21" i="51"/>
  <c r="Q25" i="51"/>
  <c r="Q22" i="51" s="1"/>
  <c r="D7" i="51" s="1"/>
  <c r="G21" i="49"/>
  <c r="C21" i="49"/>
  <c r="E16" i="49"/>
  <c r="E12" i="49"/>
  <c r="E13" i="49"/>
  <c r="E14" i="49"/>
  <c r="E19" i="49"/>
  <c r="E10" i="49"/>
  <c r="S27" i="39" l="1"/>
  <c r="S24" i="39" s="1"/>
  <c r="F7" i="39" s="1"/>
  <c r="B8" i="48" l="1"/>
  <c r="D14" i="48" l="1"/>
  <c r="D16" i="48" s="1"/>
  <c r="Q106" i="1"/>
  <c r="X50" i="1"/>
  <c r="T50" i="1"/>
  <c r="S50" i="1"/>
  <c r="X49" i="1"/>
  <c r="T49" i="1"/>
  <c r="S49" i="1"/>
  <c r="X22" i="1"/>
  <c r="T22" i="1"/>
  <c r="S22" i="1"/>
  <c r="X21" i="1"/>
  <c r="T21" i="1"/>
  <c r="S21" i="1"/>
  <c r="E30" i="48"/>
  <c r="D30" i="48"/>
  <c r="F29" i="48"/>
  <c r="F28" i="48"/>
  <c r="F27" i="48"/>
  <c r="F26" i="48"/>
  <c r="F25" i="48"/>
  <c r="F24" i="48"/>
  <c r="E16" i="48"/>
  <c r="F7" i="48"/>
  <c r="F8" i="48"/>
  <c r="F9" i="48"/>
  <c r="F10" i="48"/>
  <c r="F11" i="48"/>
  <c r="F12" i="48"/>
  <c r="F13" i="48"/>
  <c r="F15" i="48"/>
  <c r="F6" i="48"/>
  <c r="B16" i="48"/>
  <c r="F30" i="48" l="1"/>
  <c r="F14" i="48"/>
  <c r="F16" i="48" s="1"/>
  <c r="B9" i="52"/>
  <c r="B29" i="52"/>
  <c r="B10" i="52"/>
  <c r="B12" i="52" s="1"/>
  <c r="B13" i="52" s="1"/>
  <c r="B16" i="52" s="1"/>
  <c r="B6" i="52"/>
  <c r="B20" i="52" l="1"/>
  <c r="B22" i="52"/>
  <c r="B23" i="52"/>
  <c r="B31" i="52" s="1"/>
  <c r="R97" i="1"/>
  <c r="L98" i="1"/>
  <c r="F98" i="1"/>
  <c r="F99" i="1"/>
  <c r="L99" i="1"/>
  <c r="H24" i="22"/>
  <c r="X85" i="1"/>
  <c r="E7" i="51"/>
  <c r="C29" i="51"/>
  <c r="B29" i="51"/>
  <c r="E28" i="51"/>
  <c r="D28" i="51"/>
  <c r="E27" i="51"/>
  <c r="D27" i="51"/>
  <c r="E26" i="51"/>
  <c r="D26" i="51"/>
  <c r="T16" i="51"/>
  <c r="T17" i="51" s="1"/>
  <c r="T18" i="51" s="1"/>
  <c r="E21" i="51"/>
  <c r="D21" i="51"/>
  <c r="E19" i="51"/>
  <c r="D19" i="51"/>
  <c r="T12" i="51"/>
  <c r="T13" i="51" s="1"/>
  <c r="T14" i="51" s="1"/>
  <c r="E9" i="51" s="1"/>
  <c r="E15" i="51"/>
  <c r="D15" i="51"/>
  <c r="T7" i="51"/>
  <c r="E11" i="51"/>
  <c r="D11" i="51"/>
  <c r="C10" i="51"/>
  <c r="G9" i="51"/>
  <c r="D8" i="51"/>
  <c r="B10" i="51"/>
  <c r="C6" i="51"/>
  <c r="B6" i="51"/>
  <c r="H55" i="22"/>
  <c r="G55" i="22"/>
  <c r="T9" i="51" l="1"/>
  <c r="D9" i="51" s="1"/>
  <c r="R85" i="1" s="1"/>
  <c r="T85" i="1" s="1"/>
  <c r="D6" i="51"/>
  <c r="H99" i="1"/>
  <c r="D13" i="24"/>
  <c r="H98" i="1"/>
  <c r="D12" i="24"/>
  <c r="D29" i="51"/>
  <c r="B12" i="51"/>
  <c r="B13" i="51" s="1"/>
  <c r="C12" i="51"/>
  <c r="C13" i="51" s="1"/>
  <c r="E8" i="51"/>
  <c r="E29" i="51"/>
  <c r="G43" i="22"/>
  <c r="G28" i="22"/>
  <c r="D10" i="51" l="1"/>
  <c r="D12" i="51" s="1"/>
  <c r="R81" i="1" s="1"/>
  <c r="S85" i="1"/>
  <c r="C20" i="51"/>
  <c r="C16" i="51"/>
  <c r="C22" i="51"/>
  <c r="B20" i="51"/>
  <c r="B16" i="51"/>
  <c r="B22" i="51"/>
  <c r="E6" i="51"/>
  <c r="E10" i="51"/>
  <c r="F96" i="1"/>
  <c r="G51" i="22"/>
  <c r="G37" i="22"/>
  <c r="F6" i="39"/>
  <c r="V30" i="39"/>
  <c r="V32" i="39"/>
  <c r="S34" i="39"/>
  <c r="V34" i="39"/>
  <c r="S38" i="39"/>
  <c r="V38" i="39"/>
  <c r="S39" i="39"/>
  <c r="V39" i="39"/>
  <c r="S40" i="39"/>
  <c r="V40" i="39"/>
  <c r="V13" i="39"/>
  <c r="V14" i="39" s="1"/>
  <c r="V15" i="39" s="1"/>
  <c r="E9" i="39" s="1"/>
  <c r="V17" i="39"/>
  <c r="V18" i="39" s="1"/>
  <c r="V19" i="39" s="1"/>
  <c r="G7" i="39"/>
  <c r="G21" i="39"/>
  <c r="F21" i="39"/>
  <c r="G19" i="39"/>
  <c r="F19" i="39"/>
  <c r="G15" i="39"/>
  <c r="F15" i="39"/>
  <c r="F11" i="39"/>
  <c r="G30" i="48"/>
  <c r="G19" i="48"/>
  <c r="G18" i="48"/>
  <c r="G16" i="48"/>
  <c r="D13" i="51" l="1"/>
  <c r="S37" i="39"/>
  <c r="S31" i="39"/>
  <c r="E7" i="39" s="1"/>
  <c r="G20" i="48"/>
  <c r="E12" i="51"/>
  <c r="E13" i="51" s="1"/>
  <c r="B23" i="51"/>
  <c r="B31" i="51" s="1"/>
  <c r="C23" i="51"/>
  <c r="C31" i="51" s="1"/>
  <c r="G8" i="39"/>
  <c r="S172" i="1"/>
  <c r="R172" i="1"/>
  <c r="Q172" i="1"/>
  <c r="T163" i="1"/>
  <c r="T162" i="1"/>
  <c r="T149" i="1"/>
  <c r="T145" i="1"/>
  <c r="D20" i="51" l="1"/>
  <c r="D22" i="51"/>
  <c r="D16" i="51"/>
  <c r="R82" i="1" s="1"/>
  <c r="E20" i="51"/>
  <c r="E16" i="51"/>
  <c r="E22" i="51"/>
  <c r="G6" i="39"/>
  <c r="D23" i="51" l="1"/>
  <c r="E23" i="51"/>
  <c r="E31" i="51" s="1"/>
  <c r="E32" i="51" s="1"/>
  <c r="E11" i="39"/>
  <c r="R83" i="1" l="1"/>
  <c r="R87" i="1" s="1"/>
  <c r="D31" i="51"/>
  <c r="V7" i="39"/>
  <c r="V9" i="39" s="1"/>
  <c r="V10" i="39" s="1"/>
  <c r="E28" i="39"/>
  <c r="G28" i="39" s="1"/>
  <c r="E27" i="39"/>
  <c r="G27" i="39" s="1"/>
  <c r="E26" i="39"/>
  <c r="G26" i="39" s="1"/>
  <c r="G29" i="39" s="1"/>
  <c r="E21" i="39"/>
  <c r="E19" i="39"/>
  <c r="E15" i="39"/>
  <c r="D32" i="51" l="1"/>
  <c r="F32" i="51"/>
  <c r="F9" i="39"/>
  <c r="G9" i="39"/>
  <c r="G10" i="39" s="1"/>
  <c r="E29" i="39"/>
  <c r="F10" i="39" l="1"/>
  <c r="F12" i="39" l="1"/>
  <c r="T179" i="1"/>
  <c r="T178" i="1"/>
  <c r="X41" i="1"/>
  <c r="T41" i="1"/>
  <c r="S41" i="1"/>
  <c r="X12" i="1"/>
  <c r="T12" i="1"/>
  <c r="S12" i="1"/>
  <c r="F13" i="39" l="1"/>
  <c r="F22" i="39" s="1"/>
  <c r="S48" i="1"/>
  <c r="T48" i="1"/>
  <c r="X48" i="1"/>
  <c r="Q62" i="1"/>
  <c r="S45" i="1"/>
  <c r="T45" i="1"/>
  <c r="X45" i="1"/>
  <c r="S23" i="1"/>
  <c r="T23" i="1"/>
  <c r="X23" i="1"/>
  <c r="F20" i="39" l="1"/>
  <c r="F23" i="39" s="1"/>
  <c r="F16" i="39"/>
  <c r="C61" i="20"/>
  <c r="F61" i="20"/>
  <c r="J61" i="20"/>
  <c r="K61" i="20"/>
  <c r="X59" i="1"/>
  <c r="T59" i="1" l="1"/>
  <c r="L61" i="20"/>
  <c r="F100" i="1"/>
  <c r="Q97" i="1" s="1"/>
  <c r="P9" i="39"/>
  <c r="D27" i="39"/>
  <c r="D28" i="39"/>
  <c r="D26" i="39"/>
  <c r="D21" i="39"/>
  <c r="D19" i="39"/>
  <c r="D15" i="39"/>
  <c r="D11" i="39"/>
  <c r="G11" i="39" s="1"/>
  <c r="G12" i="39" s="1"/>
  <c r="G13" i="39" s="1"/>
  <c r="D9" i="39"/>
  <c r="D7" i="39"/>
  <c r="D8" i="39"/>
  <c r="C29" i="39"/>
  <c r="C6" i="39"/>
  <c r="B29" i="39"/>
  <c r="B8" i="39"/>
  <c r="B6" i="39" s="1"/>
  <c r="F44" i="22"/>
  <c r="E44" i="22"/>
  <c r="D44" i="22"/>
  <c r="C44" i="22"/>
  <c r="H6" i="22"/>
  <c r="H67" i="22" s="1"/>
  <c r="H69" i="22" s="1"/>
  <c r="H33" i="22"/>
  <c r="H72" i="22"/>
  <c r="H71" i="22"/>
  <c r="H25" i="22"/>
  <c r="H17" i="22"/>
  <c r="H16" i="22"/>
  <c r="Y4" i="1"/>
  <c r="E8" i="39" l="1"/>
  <c r="F28" i="39"/>
  <c r="F27" i="39"/>
  <c r="G16" i="39"/>
  <c r="G22" i="39"/>
  <c r="G20" i="39"/>
  <c r="F26" i="39"/>
  <c r="H28" i="22"/>
  <c r="H43" i="22"/>
  <c r="H37" i="22"/>
  <c r="C24" i="24"/>
  <c r="E10" i="39"/>
  <c r="E6" i="39"/>
  <c r="E61" i="20"/>
  <c r="S59" i="1"/>
  <c r="H51" i="22"/>
  <c r="D29" i="39"/>
  <c r="D6" i="39"/>
  <c r="D10" i="39"/>
  <c r="D12" i="39" s="1"/>
  <c r="C10" i="39"/>
  <c r="B10" i="39"/>
  <c r="B12" i="39" s="1"/>
  <c r="B13" i="39" s="1"/>
  <c r="H74" i="22"/>
  <c r="H77" i="22" s="1"/>
  <c r="H35" i="22"/>
  <c r="H12" i="22"/>
  <c r="H47" i="22"/>
  <c r="H49" i="22" s="1"/>
  <c r="F29" i="39" l="1"/>
  <c r="F31" i="39" s="1"/>
  <c r="G23" i="39"/>
  <c r="G31" i="39" s="1"/>
  <c r="G61" i="20"/>
  <c r="H61" i="20"/>
  <c r="H41" i="22"/>
  <c r="H38" i="22"/>
  <c r="H44" i="22"/>
  <c r="H52" i="22"/>
  <c r="D13" i="39"/>
  <c r="D20" i="39" s="1"/>
  <c r="C12" i="39"/>
  <c r="C13" i="39" s="1"/>
  <c r="B22" i="39"/>
  <c r="B20" i="39"/>
  <c r="B16" i="39"/>
  <c r="H60" i="22"/>
  <c r="H62" i="22" s="1"/>
  <c r="H65" i="22" s="1"/>
  <c r="H14" i="22"/>
  <c r="H18" i="22" s="1"/>
  <c r="H20" i="22" s="1"/>
  <c r="D16" i="39" l="1"/>
  <c r="D22" i="39"/>
  <c r="D23" i="39" s="1"/>
  <c r="H45" i="22"/>
  <c r="H56" i="22" s="1"/>
  <c r="R93" i="1" s="1"/>
  <c r="H26" i="22"/>
  <c r="H29" i="22"/>
  <c r="C20" i="39"/>
  <c r="C22" i="39"/>
  <c r="C16" i="39"/>
  <c r="B23" i="39"/>
  <c r="B31" i="39" s="1"/>
  <c r="D31" i="39" l="1"/>
  <c r="F32" i="39" s="1"/>
  <c r="R77" i="1"/>
  <c r="G32" i="39"/>
  <c r="H30" i="22"/>
  <c r="D32" i="39"/>
  <c r="C23" i="39"/>
  <c r="C31" i="39" s="1"/>
  <c r="C15" i="43"/>
  <c r="E15" i="43" s="1"/>
  <c r="D15" i="43" l="1"/>
  <c r="H57" i="22"/>
  <c r="E19" i="43"/>
  <c r="D19" i="43"/>
  <c r="C7" i="43"/>
  <c r="E6" i="43"/>
  <c r="D6" i="43"/>
  <c r="E5" i="43"/>
  <c r="D5" i="43"/>
  <c r="D7" i="43" s="1"/>
  <c r="E7" i="43" l="1"/>
  <c r="E10" i="43" l="1"/>
  <c r="E11" i="43" s="1"/>
  <c r="E17" i="43" l="1"/>
  <c r="E18" i="43"/>
  <c r="E16" i="43"/>
  <c r="D4" i="46"/>
  <c r="D5" i="46"/>
  <c r="D6" i="46"/>
  <c r="D7" i="46"/>
  <c r="D8" i="46"/>
  <c r="D9" i="46"/>
  <c r="D10" i="46"/>
  <c r="D11" i="46"/>
  <c r="D12" i="46"/>
  <c r="D13" i="46"/>
  <c r="D14" i="46"/>
  <c r="D3" i="46"/>
  <c r="C15" i="46"/>
  <c r="F15" i="46"/>
  <c r="B15" i="46"/>
  <c r="E9" i="46" l="1"/>
  <c r="G9" i="46" s="1"/>
  <c r="E10" i="46"/>
  <c r="G10" i="46" s="1"/>
  <c r="E11" i="46"/>
  <c r="G11" i="46" s="1"/>
  <c r="E20" i="43"/>
  <c r="E22" i="43" s="1"/>
  <c r="D15" i="46"/>
  <c r="E14" i="46" s="1"/>
  <c r="G14" i="46" s="1"/>
  <c r="B8" i="45"/>
  <c r="E20" i="45"/>
  <c r="E7" i="46" l="1"/>
  <c r="G7" i="46" s="1"/>
  <c r="E13" i="46"/>
  <c r="G13" i="46" s="1"/>
  <c r="E12" i="46"/>
  <c r="G12" i="46" s="1"/>
  <c r="E3" i="46"/>
  <c r="G3" i="46" s="1"/>
  <c r="E4" i="46"/>
  <c r="G4" i="46" s="1"/>
  <c r="E6" i="46"/>
  <c r="G6" i="46" s="1"/>
  <c r="E5" i="46"/>
  <c r="G5" i="46" s="1"/>
  <c r="E8" i="46"/>
  <c r="G8" i="46" s="1"/>
  <c r="B6" i="45"/>
  <c r="G15" i="46" l="1"/>
  <c r="E15" i="46"/>
  <c r="B7" i="45"/>
  <c r="K94" i="20"/>
  <c r="J94" i="20"/>
  <c r="F94" i="20"/>
  <c r="H94" i="20" s="1"/>
  <c r="E94" i="20"/>
  <c r="C94" i="20"/>
  <c r="E22" i="35"/>
  <c r="D17" i="35"/>
  <c r="C17" i="35"/>
  <c r="B17" i="35"/>
  <c r="W135" i="1"/>
  <c r="V135" i="1"/>
  <c r="R135" i="1"/>
  <c r="Q135" i="1"/>
  <c r="X128" i="1"/>
  <c r="T128" i="1"/>
  <c r="S128" i="1"/>
  <c r="G17" i="35" l="1"/>
  <c r="H17" i="35"/>
  <c r="L94" i="20"/>
  <c r="G94" i="20"/>
  <c r="E10" i="45"/>
  <c r="E11" i="45" s="1"/>
  <c r="E12" i="45" s="1"/>
  <c r="E14" i="45"/>
  <c r="B9" i="45" s="1"/>
  <c r="E21" i="45"/>
  <c r="E24" i="45" s="1"/>
  <c r="E25" i="45" s="1"/>
  <c r="B10" i="45" s="1"/>
  <c r="C10" i="43"/>
  <c r="D11" i="43"/>
  <c r="B14" i="45" l="1"/>
  <c r="D18" i="43"/>
  <c r="D17" i="43"/>
  <c r="D16" i="43"/>
  <c r="D24" i="43" s="1"/>
  <c r="C11" i="43"/>
  <c r="D24" i="42"/>
  <c r="D23" i="42"/>
  <c r="D22" i="42"/>
  <c r="D21" i="42"/>
  <c r="D20" i="42"/>
  <c r="D13" i="42"/>
  <c r="E13" i="42" s="1"/>
  <c r="F13" i="42" s="1"/>
  <c r="D12" i="42"/>
  <c r="E12" i="42" s="1"/>
  <c r="F12" i="42" s="1"/>
  <c r="D11" i="42"/>
  <c r="E11" i="42" s="1"/>
  <c r="F11" i="42" s="1"/>
  <c r="D10" i="42"/>
  <c r="E10" i="42" s="1"/>
  <c r="F10" i="42" s="1"/>
  <c r="D9" i="42"/>
  <c r="E9" i="42" s="1"/>
  <c r="F9" i="42" s="1"/>
  <c r="C17" i="43" l="1"/>
  <c r="C18" i="43"/>
  <c r="D20" i="43"/>
  <c r="D22" i="43"/>
  <c r="C16" i="43"/>
  <c r="C20" i="43" s="1"/>
  <c r="C22" i="43" l="1"/>
  <c r="C19" i="22"/>
  <c r="D19" i="22"/>
  <c r="F52" i="22"/>
  <c r="K73" i="20" l="1"/>
  <c r="K71" i="20"/>
  <c r="J73" i="20"/>
  <c r="J71" i="20"/>
  <c r="E73" i="20"/>
  <c r="L54" i="29" l="1"/>
  <c r="L43" i="29"/>
  <c r="L28" i="29"/>
  <c r="L25" i="29"/>
  <c r="L24" i="29"/>
  <c r="L29" i="29" s="1"/>
  <c r="L34" i="29" s="1"/>
  <c r="M25" i="29" l="1"/>
  <c r="J25" i="29"/>
  <c r="K25" i="29"/>
  <c r="K23" i="29"/>
  <c r="K22" i="29"/>
  <c r="J52" i="29"/>
  <c r="K52" i="29" s="1"/>
  <c r="J51" i="29"/>
  <c r="K51" i="29" s="1"/>
  <c r="J48" i="29"/>
  <c r="K48" i="29" s="1"/>
  <c r="J47" i="29"/>
  <c r="K47" i="29" s="1"/>
  <c r="J43" i="29"/>
  <c r="K26" i="29"/>
  <c r="J28" i="29"/>
  <c r="J24" i="29"/>
  <c r="J29" i="29" s="1"/>
  <c r="J34" i="29" s="1"/>
  <c r="J6" i="29"/>
  <c r="K43" i="29"/>
  <c r="K28" i="29"/>
  <c r="K6" i="29" l="1"/>
  <c r="L6" i="29"/>
  <c r="K24" i="29"/>
  <c r="K29" i="29" s="1"/>
  <c r="K54" i="29"/>
  <c r="J54" i="29"/>
  <c r="I12" i="29" l="1"/>
  <c r="F49" i="22" l="1"/>
  <c r="K47" i="22"/>
  <c r="G16" i="22"/>
  <c r="F33" i="22"/>
  <c r="F35" i="22" s="1"/>
  <c r="F38" i="22" s="1"/>
  <c r="F72" i="22"/>
  <c r="F71" i="22"/>
  <c r="F17" i="22"/>
  <c r="F67" i="22"/>
  <c r="F69" i="22" s="1"/>
  <c r="M54" i="29"/>
  <c r="M43" i="29"/>
  <c r="M28" i="29"/>
  <c r="M14" i="29" s="1"/>
  <c r="M24" i="29"/>
  <c r="M29" i="29" s="1"/>
  <c r="M34" i="29" s="1"/>
  <c r="H79" i="22" l="1"/>
  <c r="F74" i="22"/>
  <c r="F77" i="22" s="1"/>
  <c r="F41" i="22"/>
  <c r="F12" i="22"/>
  <c r="F19" i="22" s="1"/>
  <c r="F45" i="22" l="1"/>
  <c r="F14" i="22"/>
  <c r="F18" i="22" s="1"/>
  <c r="F20" i="22" s="1"/>
  <c r="F29" i="22" s="1"/>
  <c r="F60" i="22"/>
  <c r="F62" i="22" s="1"/>
  <c r="F65" i="22" s="1"/>
  <c r="F25" i="22"/>
  <c r="L24" i="38"/>
  <c r="L12" i="38"/>
  <c r="I6" i="38"/>
  <c r="I9" i="38" s="1"/>
  <c r="H6" i="38"/>
  <c r="F18" i="38"/>
  <c r="E18" i="38"/>
  <c r="E21" i="38" s="1"/>
  <c r="C18" i="38"/>
  <c r="B18" i="38"/>
  <c r="F6" i="38"/>
  <c r="F9" i="38" s="1"/>
  <c r="C9" i="38"/>
  <c r="C11" i="38" s="1"/>
  <c r="E6" i="38"/>
  <c r="E9" i="38" s="1"/>
  <c r="E11" i="38" s="1"/>
  <c r="C6" i="38"/>
  <c r="B6" i="38"/>
  <c r="B9" i="38" s="1"/>
  <c r="E12" i="38" l="1"/>
  <c r="B11" i="38"/>
  <c r="F56" i="22"/>
  <c r="F26" i="22"/>
  <c r="F30" i="22" s="1"/>
  <c r="I11" i="38"/>
  <c r="H9" i="38"/>
  <c r="H11" i="38" s="1"/>
  <c r="B21" i="38"/>
  <c r="B23" i="38" s="1"/>
  <c r="C21" i="38"/>
  <c r="C23" i="38" s="1"/>
  <c r="E23" i="38"/>
  <c r="E24" i="38" s="1"/>
  <c r="F21" i="38"/>
  <c r="F23" i="38" s="1"/>
  <c r="F11" i="38"/>
  <c r="F12" i="38" s="1"/>
  <c r="F24" i="38" l="1"/>
  <c r="J11" i="38"/>
  <c r="F79" i="22"/>
  <c r="H80" i="22" s="1"/>
  <c r="H81" i="22" s="1"/>
  <c r="T180" i="1"/>
  <c r="T177" i="1"/>
  <c r="T176" i="1"/>
  <c r="T175" i="1"/>
  <c r="T170" i="1"/>
  <c r="T171" i="1"/>
  <c r="T158" i="1"/>
  <c r="T159" i="1"/>
  <c r="T160" i="1"/>
  <c r="T161" i="1"/>
  <c r="T165" i="1"/>
  <c r="T166" i="1"/>
  <c r="T167" i="1"/>
  <c r="T168" i="1"/>
  <c r="T169" i="1"/>
  <c r="T148" i="1"/>
  <c r="T150" i="1"/>
  <c r="T152" i="1"/>
  <c r="T153" i="1"/>
  <c r="T154" i="1"/>
  <c r="T155" i="1"/>
  <c r="T156" i="1"/>
  <c r="T147" i="1"/>
  <c r="T182" i="1" l="1"/>
  <c r="T172"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Y14" i="29" s="1"/>
  <c r="AA24" i="29"/>
  <c r="AA29" i="29" s="1"/>
  <c r="AA34" i="29" s="1"/>
  <c r="Z24" i="29"/>
  <c r="Z29" i="29" s="1"/>
  <c r="Z34" i="29" s="1"/>
  <c r="Y24" i="29"/>
  <c r="Y29" i="29" s="1"/>
  <c r="Y34" i="29" s="1"/>
  <c r="Z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U14" i="29" s="1"/>
  <c r="S28" i="29"/>
  <c r="S14" i="29" s="1"/>
  <c r="T24" i="29"/>
  <c r="T29" i="29" s="1"/>
  <c r="T34" i="29" s="1"/>
  <c r="U24" i="29"/>
  <c r="U29" i="29" s="1"/>
  <c r="U34" i="29" s="1"/>
  <c r="S24" i="29"/>
  <c r="S29" i="29" s="1"/>
  <c r="S34" i="29" s="1"/>
  <c r="H96" i="1"/>
  <c r="D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M5" i="29" s="1"/>
  <c r="N24" i="29"/>
  <c r="N29" i="29" s="1"/>
  <c r="N34" i="29" s="1"/>
  <c r="N28" i="29"/>
  <c r="N14" i="29" s="1"/>
  <c r="N43" i="29"/>
  <c r="N54" i="29"/>
  <c r="K26" i="21"/>
  <c r="Q26" i="21"/>
  <c r="V7" i="21"/>
  <c r="D6" i="24"/>
  <c r="H100" i="1"/>
  <c r="K11" i="21"/>
  <c r="K4" i="21" s="1"/>
  <c r="S6" i="21"/>
  <c r="T6" i="21"/>
  <c r="U6" i="21"/>
  <c r="V6" i="21"/>
  <c r="R6" i="21"/>
  <c r="M12" i="29" l="1"/>
  <c r="M16" i="29" s="1"/>
  <c r="M19" i="29" s="1"/>
  <c r="M20" i="29" s="1"/>
  <c r="M7" i="29"/>
  <c r="O3" i="29"/>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M38" i="29" l="1"/>
  <c r="M56" i="29" s="1"/>
  <c r="M44" i="29"/>
  <c r="M45" i="29" s="1"/>
  <c r="M32" i="29"/>
  <c r="M33" i="29" s="1"/>
  <c r="M35" i="29" s="1"/>
  <c r="M36" i="29" s="1"/>
  <c r="I7" i="29"/>
  <c r="J5" i="29"/>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K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H18" i="35" s="1"/>
  <c r="E27" i="36"/>
  <c r="H19" i="35" l="1"/>
  <c r="H22" i="35" s="1"/>
  <c r="G19" i="35"/>
  <c r="G22" i="35" s="1"/>
  <c r="G24" i="35" s="1"/>
  <c r="J7" i="29"/>
  <c r="J12" i="29" s="1"/>
  <c r="J16" i="29" s="1"/>
  <c r="J19" i="29" s="1"/>
  <c r="J20" i="29" s="1"/>
  <c r="J44" i="29" s="1"/>
  <c r="J45" i="29" s="1"/>
  <c r="L5" i="29"/>
  <c r="L12" i="29" s="1"/>
  <c r="L16" i="29" s="1"/>
  <c r="B22" i="35"/>
  <c r="C22" i="35"/>
  <c r="D22" i="35"/>
  <c r="N20" i="29"/>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H36" i="36"/>
  <c r="H18" i="36"/>
  <c r="H38" i="36"/>
  <c r="H37" i="36"/>
  <c r="G37" i="36"/>
  <c r="F37" i="36" s="1"/>
  <c r="I35" i="36"/>
  <c r="I17" i="36"/>
  <c r="G36" i="36"/>
  <c r="F36" i="36" s="1"/>
  <c r="G38" i="36"/>
  <c r="F38" i="36" s="1"/>
  <c r="H30" i="36"/>
  <c r="G30" i="36"/>
  <c r="H27" i="36"/>
  <c r="G27" i="36"/>
  <c r="F27" i="36"/>
  <c r="F28" i="36" s="1"/>
  <c r="F29" i="36" s="1"/>
  <c r="H24" i="36"/>
  <c r="G24" i="36"/>
  <c r="F24" i="36"/>
  <c r="H21" i="36"/>
  <c r="G21" i="36"/>
  <c r="F21" i="36"/>
  <c r="G18" i="36"/>
  <c r="F18" i="36"/>
  <c r="H12" i="36"/>
  <c r="F13" i="36" s="1"/>
  <c r="F14" i="36" s="1"/>
  <c r="G12" i="36"/>
  <c r="C14" i="31"/>
  <c r="C13" i="31"/>
  <c r="C12" i="31"/>
  <c r="C11" i="31"/>
  <c r="C10" i="31"/>
  <c r="C9" i="31"/>
  <c r="C8" i="31"/>
  <c r="C7" i="31"/>
  <c r="C6" i="31"/>
  <c r="J38" i="29" l="1"/>
  <c r="J56" i="29" s="1"/>
  <c r="N32" i="29"/>
  <c r="N33" i="29" s="1"/>
  <c r="N35" i="29" s="1"/>
  <c r="N36" i="29" s="1"/>
  <c r="L19" i="29"/>
  <c r="L20" i="29" s="1"/>
  <c r="G38" i="22"/>
  <c r="G44" i="22"/>
  <c r="G41" i="22"/>
  <c r="G14" i="22"/>
  <c r="G18" i="22" s="1"/>
  <c r="G20" i="22" s="1"/>
  <c r="K44" i="29"/>
  <c r="K45" i="29" s="1"/>
  <c r="N44" i="29"/>
  <c r="N45" i="29" s="1"/>
  <c r="N56"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13" i="36"/>
  <c r="G14" i="36" s="1"/>
  <c r="C4" i="31"/>
  <c r="H11" i="34"/>
  <c r="L38" i="29" l="1"/>
  <c r="L56" i="29" s="1"/>
  <c r="L32" i="29"/>
  <c r="L33" i="29" s="1"/>
  <c r="L35" i="29" s="1"/>
  <c r="L36" i="29" s="1"/>
  <c r="L44" i="29"/>
  <c r="L45" i="29" s="1"/>
  <c r="G29" i="22"/>
  <c r="G26" i="22"/>
  <c r="G30" i="22" s="1"/>
  <c r="G45" i="22"/>
  <c r="G56" i="22" s="1"/>
  <c r="I20" i="29"/>
  <c r="R47" i="21"/>
  <c r="R50" i="21" s="1"/>
  <c r="R51" i="21" s="1"/>
  <c r="R40" i="21"/>
  <c r="R34" i="21"/>
  <c r="R35" i="21" s="1"/>
  <c r="R37" i="21" s="1"/>
  <c r="R38" i="21" s="1"/>
  <c r="E14" i="35"/>
  <c r="G57" i="22" l="1"/>
  <c r="G79" i="22"/>
  <c r="R61" i="21"/>
  <c r="I38" i="29"/>
  <c r="I56" i="29" s="1"/>
  <c r="I44" i="29"/>
  <c r="I45" i="29" s="1"/>
  <c r="I32" i="29"/>
  <c r="E24" i="35"/>
  <c r="E7" i="31"/>
  <c r="D7" i="31" s="1"/>
  <c r="E8" i="31"/>
  <c r="D8" i="31" s="1"/>
  <c r="E9" i="31"/>
  <c r="D9" i="31" s="1"/>
  <c r="E10" i="31"/>
  <c r="D10" i="31" s="1"/>
  <c r="E11" i="31"/>
  <c r="D11" i="31" s="1"/>
  <c r="E12" i="31"/>
  <c r="D12" i="31" s="1"/>
  <c r="E13" i="31"/>
  <c r="D13" i="31" s="1"/>
  <c r="E14" i="31"/>
  <c r="D14" i="31" s="1"/>
  <c r="E6" i="31"/>
  <c r="D6" i="31" s="1"/>
  <c r="J10" i="34"/>
  <c r="C14" i="34"/>
  <c r="E7" i="34"/>
  <c r="E13" i="34" s="1"/>
  <c r="J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D60" i="22"/>
  <c r="D62" i="22" s="1"/>
  <c r="D65" i="22" s="1"/>
  <c r="D33" i="22"/>
  <c r="D41" i="22" s="1"/>
  <c r="D52" i="22" s="1"/>
  <c r="D72" i="22"/>
  <c r="D71" i="22"/>
  <c r="D69" i="22"/>
  <c r="D14" i="22"/>
  <c r="D17" i="22"/>
  <c r="K58" i="21"/>
  <c r="K46" i="21"/>
  <c r="K30" i="21"/>
  <c r="K14" i="21" s="1"/>
  <c r="K24" i="21"/>
  <c r="R27"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F4" i="32"/>
  <c r="C4" i="32"/>
  <c r="D34" i="29"/>
  <c r="C34" i="29"/>
  <c r="C14" i="29"/>
  <c r="D14" i="29"/>
  <c r="E12" i="29"/>
  <c r="G4" i="32" l="1"/>
  <c r="K57" i="29"/>
  <c r="K58" i="29"/>
  <c r="M58" i="29"/>
  <c r="M57" i="29"/>
  <c r="E6" i="49"/>
  <c r="E5" i="49"/>
  <c r="E7" i="49"/>
  <c r="D25" i="22"/>
  <c r="D47" i="22"/>
  <c r="D49" i="22" s="1"/>
  <c r="D35" i="22"/>
  <c r="D38" i="22" s="1"/>
  <c r="D45" i="22" s="1"/>
  <c r="D7" i="32"/>
  <c r="D18" i="22"/>
  <c r="D8" i="35"/>
  <c r="D74" i="22"/>
  <c r="D77" i="22" s="1"/>
  <c r="K59" i="21"/>
  <c r="R4" i="21"/>
  <c r="K31" i="21"/>
  <c r="K36" i="21" s="1"/>
  <c r="O31" i="21"/>
  <c r="O36" i="21" s="1"/>
  <c r="M26" i="21"/>
  <c r="P26" i="21"/>
  <c r="L26" i="21"/>
  <c r="N26" i="21"/>
  <c r="C6" i="32"/>
  <c r="C7" i="32" s="1"/>
  <c r="E28" i="29"/>
  <c r="E14" i="29" s="1"/>
  <c r="E16" i="29" s="1"/>
  <c r="E24" i="29"/>
  <c r="V27" i="1"/>
  <c r="C8" i="35" s="1"/>
  <c r="W27" i="1"/>
  <c r="X26" i="1"/>
  <c r="T26" i="1"/>
  <c r="S26" i="1"/>
  <c r="X25" i="1"/>
  <c r="T25" i="1"/>
  <c r="X24" i="1"/>
  <c r="T24" i="1"/>
  <c r="S24" i="1"/>
  <c r="X20" i="1"/>
  <c r="T20" i="1"/>
  <c r="S20" i="1"/>
  <c r="X19" i="1"/>
  <c r="T19" i="1"/>
  <c r="S19" i="1"/>
  <c r="X18" i="1"/>
  <c r="T18" i="1"/>
  <c r="S18" i="1"/>
  <c r="X17" i="1"/>
  <c r="T17" i="1"/>
  <c r="S17" i="1"/>
  <c r="X16"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X96" i="1"/>
  <c r="G8" i="35" l="1"/>
  <c r="D11" i="49"/>
  <c r="D18" i="49"/>
  <c r="E18" i="49" s="1"/>
  <c r="D17" i="49"/>
  <c r="E17" i="49" s="1"/>
  <c r="D20" i="49"/>
  <c r="E20" i="49" s="1"/>
  <c r="D15" i="49"/>
  <c r="E15" i="49" s="1"/>
  <c r="D26" i="22"/>
  <c r="D30" i="22" s="1"/>
  <c r="D79" i="22" s="1"/>
  <c r="F80" i="22" s="1"/>
  <c r="F81" i="22" s="1"/>
  <c r="D20" i="22"/>
  <c r="D29" i="22" s="1"/>
  <c r="E19" i="29"/>
  <c r="S16" i="1"/>
  <c r="Q27" i="1"/>
  <c r="C9" i="32"/>
  <c r="E29" i="29"/>
  <c r="E34" i="29" s="1"/>
  <c r="T16" i="1"/>
  <c r="G6" i="31"/>
  <c r="C15" i="31"/>
  <c r="F15" i="31"/>
  <c r="C60" i="22"/>
  <c r="C62" i="22" s="1"/>
  <c r="C65" i="22" s="1"/>
  <c r="C33" i="22"/>
  <c r="C35" i="22" s="1"/>
  <c r="C38" i="22" s="1"/>
  <c r="C72" i="22"/>
  <c r="C71" i="22"/>
  <c r="C69" i="22"/>
  <c r="C17" i="22"/>
  <c r="C14" i="22"/>
  <c r="I30" i="21"/>
  <c r="I14" i="21" s="1"/>
  <c r="B8" i="35" l="1"/>
  <c r="H8" i="35" s="1"/>
  <c r="C25" i="22"/>
  <c r="C47" i="22"/>
  <c r="C49" i="22" s="1"/>
  <c r="C10" i="32"/>
  <c r="C12" i="32"/>
  <c r="C13" i="32" s="1"/>
  <c r="S27" i="1"/>
  <c r="C41" i="22"/>
  <c r="C18" i="22"/>
  <c r="C74" i="22"/>
  <c r="C77" i="22" s="1"/>
  <c r="G14" i="21"/>
  <c r="S80" i="1"/>
  <c r="C43" i="29"/>
  <c r="C5" i="29"/>
  <c r="W87" i="1"/>
  <c r="V87" i="1"/>
  <c r="X86" i="1"/>
  <c r="T86" i="1"/>
  <c r="X84" i="1"/>
  <c r="T84" i="1"/>
  <c r="X83" i="1"/>
  <c r="X82" i="1"/>
  <c r="X81" i="1"/>
  <c r="X80" i="1"/>
  <c r="T80" i="1"/>
  <c r="C26" i="22" l="1"/>
  <c r="C30" i="22" s="1"/>
  <c r="C20" i="22"/>
  <c r="C29" i="22" s="1"/>
  <c r="C45" i="22"/>
  <c r="C52" i="22"/>
  <c r="C16" i="29"/>
  <c r="C54" i="29"/>
  <c r="D54" i="29"/>
  <c r="S84" i="1"/>
  <c r="X79" i="1"/>
  <c r="S86" i="1"/>
  <c r="X87" i="1"/>
  <c r="T79"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T81" i="1"/>
  <c r="D7" i="24"/>
  <c r="C7" i="24"/>
  <c r="E32" i="29"/>
  <c r="E33" i="29" s="1"/>
  <c r="E35" i="29" s="1"/>
  <c r="E36" i="29" s="1"/>
  <c r="E38" i="29"/>
  <c r="E56" i="29" s="1"/>
  <c r="E45" i="29"/>
  <c r="S79" i="1"/>
  <c r="D20" i="29"/>
  <c r="S81" i="1"/>
  <c r="T82" i="1" l="1"/>
  <c r="C8" i="24"/>
  <c r="D44" i="29"/>
  <c r="D45" i="29" s="1"/>
  <c r="D32" i="29"/>
  <c r="D33" i="29" s="1"/>
  <c r="D38" i="29" s="1"/>
  <c r="D36" i="29" s="1"/>
  <c r="S82" i="1" l="1"/>
  <c r="I58" i="29"/>
  <c r="N58" i="29"/>
  <c r="N57" i="29"/>
  <c r="I57" i="29"/>
  <c r="D56" i="29"/>
  <c r="Q87" i="1"/>
  <c r="C65" i="20" l="1"/>
  <c r="E65" i="20"/>
  <c r="F65" i="20"/>
  <c r="J65" i="20"/>
  <c r="K65" i="20"/>
  <c r="W65" i="1"/>
  <c r="V65" i="1"/>
  <c r="R65" i="1"/>
  <c r="Q65" i="1"/>
  <c r="X64" i="1"/>
  <c r="T64" i="1"/>
  <c r="S64" i="1"/>
  <c r="D11" i="24"/>
  <c r="X90" i="1"/>
  <c r="E33" i="22"/>
  <c r="E35" i="22" s="1"/>
  <c r="E38" i="22" s="1"/>
  <c r="E71" i="22"/>
  <c r="E72" i="22"/>
  <c r="E17" i="22"/>
  <c r="E12" i="22"/>
  <c r="C96" i="20"/>
  <c r="E96" i="20"/>
  <c r="F96" i="20"/>
  <c r="H96" i="20" s="1"/>
  <c r="J96" i="20"/>
  <c r="K96" i="20"/>
  <c r="L96" i="20" s="1"/>
  <c r="Q96" i="1"/>
  <c r="G58" i="21"/>
  <c r="E14" i="22" l="1"/>
  <c r="E18" i="22" s="1"/>
  <c r="E19" i="22"/>
  <c r="H65" i="20"/>
  <c r="L65" i="20"/>
  <c r="G65" i="20"/>
  <c r="G96" i="20"/>
  <c r="S83" i="1"/>
  <c r="S87" i="1" s="1"/>
  <c r="T83" i="1"/>
  <c r="E41" i="22"/>
  <c r="E60" i="22"/>
  <c r="E62" i="22" s="1"/>
  <c r="E65" i="22" s="1"/>
  <c r="E67" i="22"/>
  <c r="E69" i="22" s="1"/>
  <c r="E74" i="22" s="1"/>
  <c r="E77" i="22" s="1"/>
  <c r="G24" i="21"/>
  <c r="G26" i="21" s="1"/>
  <c r="G31" i="21" s="1"/>
  <c r="D24" i="21"/>
  <c r="X75"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T87" i="1"/>
  <c r="S75" i="1"/>
  <c r="T75" i="1"/>
  <c r="E31" i="21"/>
  <c r="D31" i="21"/>
  <c r="D49" i="21" s="1"/>
  <c r="D6" i="21"/>
  <c r="D9" i="21"/>
  <c r="D14" i="21"/>
  <c r="C14" i="21"/>
  <c r="F14" i="21"/>
  <c r="F22" i="21"/>
  <c r="F24" i="21" s="1"/>
  <c r="F26" i="21" s="1"/>
  <c r="G36" i="21"/>
  <c r="C9" i="21"/>
  <c r="C22" i="21" s="1"/>
  <c r="C24" i="21" s="1"/>
  <c r="C26" i="21" s="1"/>
  <c r="B6" i="21"/>
  <c r="X130" i="1"/>
  <c r="T130" i="1"/>
  <c r="S130" i="1"/>
  <c r="L96" i="1"/>
  <c r="E79" i="22" l="1"/>
  <c r="G80" i="22" s="1"/>
  <c r="G81" i="22" s="1"/>
  <c r="D36" i="21"/>
  <c r="H18" i="21"/>
  <c r="H19" i="21" s="1"/>
  <c r="F31" i="21"/>
  <c r="F48" i="21"/>
  <c r="E36" i="21"/>
  <c r="E49" i="21"/>
  <c r="C31" i="21"/>
  <c r="C48" i="21"/>
  <c r="B7" i="21"/>
  <c r="T96"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S96"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X133" i="1"/>
  <c r="T133" i="1"/>
  <c r="X72" i="1"/>
  <c r="L61" i="21" l="1"/>
  <c r="M61" i="21"/>
  <c r="P61" i="21"/>
  <c r="O61" i="21"/>
  <c r="I38" i="21"/>
  <c r="I61" i="21"/>
  <c r="G35" i="21"/>
  <c r="G37" i="21" s="1"/>
  <c r="G40" i="21" s="1"/>
  <c r="S133" i="1"/>
  <c r="M62" i="21" l="1"/>
  <c r="M63" i="21" s="1"/>
  <c r="P62" i="21"/>
  <c r="P63" i="21" s="1"/>
  <c r="G61" i="21"/>
  <c r="G38" i="21"/>
  <c r="L100" i="1"/>
  <c r="I62" i="21" l="1"/>
  <c r="I63" i="21" s="1"/>
  <c r="D14" i="24"/>
  <c r="M65" i="1"/>
  <c r="I65" i="1"/>
  <c r="E65" i="1"/>
  <c r="V2" i="1"/>
  <c r="S3" i="1"/>
  <c r="R3" i="1"/>
  <c r="H4" i="36" s="1"/>
  <c r="Q3" i="1"/>
  <c r="H16" i="36" l="1"/>
  <c r="H34" i="36"/>
  <c r="G4" i="36"/>
  <c r="F4" i="36"/>
  <c r="X93" i="1"/>
  <c r="T93" i="1"/>
  <c r="G34" i="36" l="1"/>
  <c r="G16" i="36"/>
  <c r="F34" i="36"/>
  <c r="F16" i="36"/>
  <c r="S93" i="1"/>
  <c r="C9" i="20" l="1"/>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X129" i="1" l="1"/>
  <c r="K95" i="20" l="1"/>
  <c r="J95" i="20"/>
  <c r="F95" i="20"/>
  <c r="T129" i="1"/>
  <c r="E95" i="20" l="1"/>
  <c r="S129" i="1"/>
  <c r="G95" i="20" l="1"/>
  <c r="R118" i="1"/>
  <c r="R125" i="1"/>
  <c r="R55" i="1"/>
  <c r="R39" i="1"/>
  <c r="R126" i="1" l="1"/>
  <c r="D11" i="35" s="1"/>
  <c r="J3" i="20"/>
  <c r="K10" i="20" l="1"/>
  <c r="K11" i="20"/>
  <c r="J10" i="20"/>
  <c r="J11" i="20"/>
  <c r="E55" i="20"/>
  <c r="F55" i="20"/>
  <c r="J55" i="20"/>
  <c r="K55" i="20"/>
  <c r="G55" i="20" l="1"/>
  <c r="H55" i="20"/>
  <c r="L55" i="20"/>
  <c r="X53" i="1"/>
  <c r="T53" i="1"/>
  <c r="S53" i="1" l="1"/>
  <c r="E38" i="20" l="1"/>
  <c r="F38" i="20"/>
  <c r="J38" i="20"/>
  <c r="K38" i="20"/>
  <c r="G38" i="20" l="1"/>
  <c r="L38" i="20"/>
  <c r="H38" i="20"/>
  <c r="S134" i="1"/>
  <c r="S132" i="1"/>
  <c r="S131" i="1"/>
  <c r="S124" i="1"/>
  <c r="S123" i="1"/>
  <c r="S122" i="1"/>
  <c r="S121" i="1"/>
  <c r="S120" i="1"/>
  <c r="S117" i="1"/>
  <c r="S116" i="1"/>
  <c r="S115" i="1"/>
  <c r="S114" i="1"/>
  <c r="S113" i="1"/>
  <c r="S112" i="1"/>
  <c r="S107" i="1"/>
  <c r="S103" i="1"/>
  <c r="S91" i="1"/>
  <c r="S76" i="1"/>
  <c r="S74" i="1"/>
  <c r="S70" i="1"/>
  <c r="S61" i="1"/>
  <c r="S58" i="1"/>
  <c r="S57" i="1"/>
  <c r="S52" i="1"/>
  <c r="S42" i="1"/>
  <c r="S40" i="1"/>
  <c r="S37" i="1"/>
  <c r="S34" i="1"/>
  <c r="S33" i="1"/>
  <c r="S32" i="1"/>
  <c r="S31" i="1"/>
  <c r="S135" i="1" l="1"/>
  <c r="S118" i="1"/>
  <c r="S125" i="1"/>
  <c r="S126" i="1" l="1"/>
  <c r="T34" i="1" l="1"/>
  <c r="X34" i="1"/>
  <c r="F4" i="20" l="1"/>
  <c r="E4" i="20"/>
  <c r="K4" i="20"/>
  <c r="J4" i="20"/>
  <c r="X40" i="1"/>
  <c r="T40"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X74" i="1"/>
  <c r="T74" i="1"/>
  <c r="J66" i="20" l="1"/>
  <c r="K66" i="20"/>
  <c r="K48" i="20"/>
  <c r="J83" i="20"/>
  <c r="J39" i="20"/>
  <c r="J13" i="20"/>
  <c r="J43" i="20"/>
  <c r="K83" i="20"/>
  <c r="K91" i="20"/>
  <c r="J48" i="20"/>
  <c r="J91" i="20"/>
  <c r="K13" i="20"/>
  <c r="K43" i="20"/>
  <c r="J92" i="20" l="1"/>
  <c r="K92" i="20"/>
  <c r="S62" i="1"/>
  <c r="S63" i="1"/>
  <c r="S51" i="1"/>
  <c r="S54" i="1"/>
  <c r="S44" i="1"/>
  <c r="S38" i="1"/>
  <c r="X71" i="1"/>
  <c r="S65" i="1" l="1"/>
  <c r="S39" i="1"/>
  <c r="S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S104"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S97" i="1"/>
  <c r="S92"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T134" i="1" l="1"/>
  <c r="T132" i="1"/>
  <c r="T131" i="1"/>
  <c r="T124" i="1"/>
  <c r="T123" i="1"/>
  <c r="T122" i="1"/>
  <c r="T121" i="1"/>
  <c r="T120" i="1"/>
  <c r="T117" i="1"/>
  <c r="T116" i="1"/>
  <c r="T115" i="1"/>
  <c r="T114" i="1"/>
  <c r="T113" i="1"/>
  <c r="T112" i="1"/>
  <c r="T107" i="1"/>
  <c r="T104" i="1"/>
  <c r="T103" i="1"/>
  <c r="T97" i="1"/>
  <c r="T92" i="1"/>
  <c r="T91" i="1"/>
  <c r="T76" i="1"/>
  <c r="T70" i="1"/>
  <c r="T63" i="1"/>
  <c r="T62" i="1"/>
  <c r="T61" i="1"/>
  <c r="T58" i="1"/>
  <c r="T57" i="1"/>
  <c r="T54" i="1"/>
  <c r="T52" i="1"/>
  <c r="T51" i="1"/>
  <c r="T44" i="1"/>
  <c r="T42" i="1"/>
  <c r="T38" i="1"/>
  <c r="T37" i="1"/>
  <c r="T33" i="1"/>
  <c r="T32" i="1"/>
  <c r="T31" i="1"/>
  <c r="X7" i="1"/>
  <c r="X134" i="1"/>
  <c r="X131" i="1"/>
  <c r="X124" i="1"/>
  <c r="X123" i="1"/>
  <c r="X122" i="1"/>
  <c r="X121" i="1"/>
  <c r="X120" i="1"/>
  <c r="X117" i="1"/>
  <c r="X116" i="1"/>
  <c r="X115" i="1"/>
  <c r="X114" i="1"/>
  <c r="X113" i="1"/>
  <c r="X112" i="1"/>
  <c r="X107" i="1"/>
  <c r="X106" i="1"/>
  <c r="X105" i="1"/>
  <c r="X104" i="1"/>
  <c r="X103" i="1"/>
  <c r="X97" i="1"/>
  <c r="X92" i="1"/>
  <c r="X91" i="1"/>
  <c r="X89" i="1"/>
  <c r="X76" i="1"/>
  <c r="X73" i="1"/>
  <c r="X70" i="1"/>
  <c r="X63" i="1"/>
  <c r="X62" i="1"/>
  <c r="X61" i="1"/>
  <c r="X58" i="1"/>
  <c r="X57" i="1"/>
  <c r="X54" i="1"/>
  <c r="X52" i="1"/>
  <c r="X51" i="1"/>
  <c r="X44" i="1"/>
  <c r="X42" i="1"/>
  <c r="X38" i="1"/>
  <c r="X37" i="1"/>
  <c r="X33" i="1"/>
  <c r="X32" i="1"/>
  <c r="X31" i="1"/>
  <c r="X30" i="1"/>
  <c r="X27" i="1"/>
  <c r="X10" i="1"/>
  <c r="X9" i="1"/>
  <c r="X8" i="1"/>
  <c r="W11" i="1"/>
  <c r="W35" i="1"/>
  <c r="W39" i="1"/>
  <c r="W55" i="1"/>
  <c r="W108" i="1"/>
  <c r="W125" i="1"/>
  <c r="V125" i="1"/>
  <c r="V118" i="1"/>
  <c r="V108" i="1"/>
  <c r="V94" i="1"/>
  <c r="V77" i="1"/>
  <c r="V55" i="1"/>
  <c r="V39" i="1"/>
  <c r="V35" i="1"/>
  <c r="V11" i="1"/>
  <c r="Q55" i="1"/>
  <c r="Q39" i="1"/>
  <c r="V109" i="1" l="1"/>
  <c r="C10" i="35" s="1"/>
  <c r="J70" i="20"/>
  <c r="J74" i="20" s="1"/>
  <c r="J103" i="20" s="1"/>
  <c r="J104" i="20" s="1"/>
  <c r="W66" i="1"/>
  <c r="V66" i="1"/>
  <c r="C9" i="35" s="1"/>
  <c r="T55" i="1"/>
  <c r="V13" i="1"/>
  <c r="C27" i="1" s="1"/>
  <c r="T135" i="1"/>
  <c r="T125" i="1"/>
  <c r="X55" i="1"/>
  <c r="T39" i="1"/>
  <c r="X39" i="1"/>
  <c r="X108" i="1"/>
  <c r="X11" i="1"/>
  <c r="T118" i="1"/>
  <c r="X118" i="1"/>
  <c r="X125" i="1"/>
  <c r="X65" i="1"/>
  <c r="X35" i="1"/>
  <c r="W126" i="1"/>
  <c r="W13" i="1"/>
  <c r="W140" i="1" s="1"/>
  <c r="V126" i="1"/>
  <c r="C11" i="35" s="1"/>
  <c r="G11" i="35" s="1"/>
  <c r="B11" i="35"/>
  <c r="H11" i="35" s="1"/>
  <c r="C5" i="35" l="1"/>
  <c r="C12" i="35"/>
  <c r="V140" i="1"/>
  <c r="X140" i="1" s="1"/>
  <c r="X13" i="1"/>
  <c r="T126" i="1"/>
  <c r="X66" i="1"/>
  <c r="X126" i="1"/>
  <c r="C14" i="35" l="1"/>
  <c r="C24" i="35" s="1"/>
  <c r="J107" i="20"/>
  <c r="J108" i="20" s="1"/>
  <c r="F5" i="34" s="1"/>
  <c r="F7" i="34" s="1"/>
  <c r="F12" i="34" s="1"/>
  <c r="F14" i="34" l="1"/>
  <c r="J12" i="34"/>
  <c r="W77" i="1" l="1"/>
  <c r="X69" i="1"/>
  <c r="X77" i="1" l="1"/>
  <c r="S106" i="1" l="1"/>
  <c r="T106" i="1"/>
  <c r="W94" i="1"/>
  <c r="W109" i="1" s="1"/>
  <c r="K70" i="20" l="1"/>
  <c r="K74" i="20" s="1"/>
  <c r="L73" i="20"/>
  <c r="X94" i="1"/>
  <c r="L70" i="20" l="1"/>
  <c r="L74" i="20"/>
  <c r="K103" i="20" l="1"/>
  <c r="E9" i="20"/>
  <c r="E10" i="20"/>
  <c r="E11" i="20"/>
  <c r="E12" i="20"/>
  <c r="L103" i="20" l="1"/>
  <c r="K104" i="20"/>
  <c r="L104" i="20" s="1"/>
  <c r="K107" i="20"/>
  <c r="K108" i="20" s="1"/>
  <c r="L107" i="20" l="1"/>
  <c r="T9" i="1"/>
  <c r="F11" i="20"/>
  <c r="S9" i="1"/>
  <c r="T10" i="1"/>
  <c r="S10" i="1"/>
  <c r="F12" i="20"/>
  <c r="T8" i="1"/>
  <c r="F9" i="20"/>
  <c r="S8" i="1"/>
  <c r="F10" i="20"/>
  <c r="H9" i="20" l="1"/>
  <c r="G9" i="20"/>
  <c r="H12" i="20"/>
  <c r="G12" i="20"/>
  <c r="H11" i="20"/>
  <c r="G11" i="20"/>
  <c r="H10" i="20"/>
  <c r="G10" i="20"/>
  <c r="Q35" i="1"/>
  <c r="Q66" i="1" s="1"/>
  <c r="E33" i="20"/>
  <c r="T30" i="1"/>
  <c r="F33" i="20"/>
  <c r="F39" i="20" s="1"/>
  <c r="R35" i="1"/>
  <c r="S30" i="1"/>
  <c r="S35" i="1" s="1"/>
  <c r="S66" i="1" s="1"/>
  <c r="E39" i="20" l="1"/>
  <c r="E67" i="20" s="1"/>
  <c r="G33" i="20"/>
  <c r="G39" i="20" s="1"/>
  <c r="G67" i="20" s="1"/>
  <c r="T35" i="1"/>
  <c r="R66" i="1"/>
  <c r="H33" i="20"/>
  <c r="F67" i="20"/>
  <c r="D9" i="35" l="1"/>
  <c r="G9" i="35" s="1"/>
  <c r="H39" i="20"/>
  <c r="H67" i="20"/>
  <c r="V137" i="1" l="1"/>
  <c r="V138" i="1" s="1"/>
  <c r="V141" i="1" l="1"/>
  <c r="V142" i="1" s="1"/>
  <c r="W137" i="1" l="1"/>
  <c r="X137" i="1" s="1"/>
  <c r="X109" i="1"/>
  <c r="W141" i="1" l="1"/>
  <c r="X141" i="1" s="1"/>
  <c r="W138" i="1"/>
  <c r="W142" i="1" l="1"/>
  <c r="E6" i="21"/>
  <c r="E7" i="21" s="1"/>
  <c r="E11" i="21" s="1"/>
  <c r="E16" i="21" s="1"/>
  <c r="E18" i="21" l="1"/>
  <c r="E19" i="21" s="1"/>
  <c r="E34" i="21" l="1"/>
  <c r="E35" i="21" s="1"/>
  <c r="E37" i="21" s="1"/>
  <c r="E47" i="21"/>
  <c r="E50" i="21" s="1"/>
  <c r="E51" i="21" s="1"/>
  <c r="E38" i="21" l="1"/>
  <c r="E39" i="21" s="1"/>
  <c r="E61" i="21"/>
  <c r="E65" i="21" s="1"/>
  <c r="T65" i="1"/>
  <c r="B9" i="35" l="1"/>
  <c r="H9" i="35" s="1"/>
  <c r="T66" i="1"/>
  <c r="F16" i="20" l="1"/>
  <c r="H16" i="20" s="1"/>
  <c r="E16" i="20"/>
  <c r="F17" i="20" l="1"/>
  <c r="E17" i="20" l="1"/>
  <c r="G17" i="20"/>
  <c r="H17" i="20" l="1"/>
  <c r="G30" i="20" l="1"/>
  <c r="T27"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T69" i="1"/>
  <c r="S69" i="1"/>
  <c r="Q40" i="21"/>
  <c r="S72" i="1" l="1"/>
  <c r="S71" i="1"/>
  <c r="T71" i="1"/>
  <c r="Q77" i="1"/>
  <c r="Q61" i="21"/>
  <c r="Q62" i="21" s="1"/>
  <c r="Q63" i="21" s="1"/>
  <c r="F73" i="20" l="1"/>
  <c r="T72" i="1"/>
  <c r="C6" i="24"/>
  <c r="S73" i="1"/>
  <c r="S77" i="1" s="1"/>
  <c r="T73" i="1"/>
  <c r="G73" i="20" l="1"/>
  <c r="H73" i="20"/>
  <c r="T77" i="1"/>
  <c r="F8" i="20" l="1"/>
  <c r="F13" i="20" s="1"/>
  <c r="T7" i="1"/>
  <c r="R11" i="1"/>
  <c r="R13" i="1" s="1"/>
  <c r="D5" i="35" l="1"/>
  <c r="F18" i="20"/>
  <c r="S7" i="1"/>
  <c r="S11" i="1" s="1"/>
  <c r="S13" i="1" s="1"/>
  <c r="E8" i="20"/>
  <c r="Q11" i="1"/>
  <c r="R140" i="1"/>
  <c r="G5" i="35" l="1"/>
  <c r="H8" i="20"/>
  <c r="E13" i="20"/>
  <c r="G8" i="20"/>
  <c r="G13" i="20" s="1"/>
  <c r="G18" i="20" s="1"/>
  <c r="T11" i="1"/>
  <c r="Q13" i="1"/>
  <c r="F106" i="20"/>
  <c r="E18" i="20" l="1"/>
  <c r="H13" i="20"/>
  <c r="C30" i="20"/>
  <c r="B5" i="35"/>
  <c r="Q140" i="1"/>
  <c r="T13" i="1"/>
  <c r="G106" i="20"/>
  <c r="H5" i="35" l="1"/>
  <c r="S140" i="1"/>
  <c r="T140" i="1"/>
  <c r="E106" i="20"/>
  <c r="H18" i="20"/>
  <c r="H106" i="20" l="1"/>
  <c r="E12" i="39"/>
  <c r="E13" i="39" s="1"/>
  <c r="E20" i="39" l="1"/>
  <c r="E16" i="39"/>
  <c r="E22" i="39"/>
  <c r="E23" i="39" l="1"/>
  <c r="E31" i="39" s="1"/>
  <c r="E32" i="39" s="1"/>
  <c r="D21" i="49"/>
  <c r="D26" i="49" s="1"/>
  <c r="E11" i="49"/>
  <c r="E21" i="49" s="1"/>
  <c r="H6" i="36"/>
  <c r="F6" i="36" s="1"/>
  <c r="F7" i="36" s="1"/>
  <c r="F8" i="36" s="1"/>
  <c r="G6" i="36" l="1"/>
  <c r="T89" i="1"/>
  <c r="C21" i="24"/>
  <c r="S89" i="1"/>
  <c r="G7" i="36" l="1"/>
  <c r="G8" i="36" s="1"/>
  <c r="H9" i="36"/>
  <c r="H42" i="36" s="1"/>
  <c r="R94" i="1"/>
  <c r="R105" i="1" s="1"/>
  <c r="G9" i="36"/>
  <c r="F70" i="20" l="1"/>
  <c r="F74" i="20" s="1"/>
  <c r="R108" i="1"/>
  <c r="R109" i="1" s="1"/>
  <c r="D10" i="35" s="1"/>
  <c r="S90" i="1"/>
  <c r="S94" i="1" s="1"/>
  <c r="G42" i="36"/>
  <c r="G10" i="36"/>
  <c r="G11" i="36" s="1"/>
  <c r="F9" i="36"/>
  <c r="C20" i="24"/>
  <c r="Q94" i="1"/>
  <c r="T90" i="1"/>
  <c r="T94" i="1" l="1"/>
  <c r="Q105" i="1"/>
  <c r="T105" i="1" s="1"/>
  <c r="H70" i="20"/>
  <c r="H74" i="20"/>
  <c r="F103" i="20"/>
  <c r="F71" i="20"/>
  <c r="F10" i="36"/>
  <c r="F11" i="36" s="1"/>
  <c r="F42" i="36"/>
  <c r="E70" i="20"/>
  <c r="Q108" i="1" l="1"/>
  <c r="Q109" i="1" s="1"/>
  <c r="E71" i="20"/>
  <c r="G71" i="20" s="1"/>
  <c r="S105" i="1"/>
  <c r="S108" i="1" s="1"/>
  <c r="F107" i="20"/>
  <c r="F104" i="20"/>
  <c r="H104" i="20" s="1"/>
  <c r="H103" i="20"/>
  <c r="G70" i="20"/>
  <c r="E74" i="20"/>
  <c r="S109" i="1" l="1"/>
  <c r="S137" i="1" s="1"/>
  <c r="S138" i="1" s="1"/>
  <c r="H71" i="20"/>
  <c r="T108" i="1"/>
  <c r="G74" i="20"/>
  <c r="G103" i="20" s="1"/>
  <c r="E103" i="20"/>
  <c r="H107" i="20"/>
  <c r="F108" i="20"/>
  <c r="R137" i="1"/>
  <c r="T109" i="1"/>
  <c r="Q137" i="1"/>
  <c r="B10" i="35"/>
  <c r="D12" i="35" l="1"/>
  <c r="D14" i="35" s="1"/>
  <c r="D24" i="35" s="1"/>
  <c r="G10" i="35"/>
  <c r="G12" i="35" s="1"/>
  <c r="Q141" i="1"/>
  <c r="Q138" i="1"/>
  <c r="E104" i="20"/>
  <c r="E107" i="20"/>
  <c r="E108" i="20" s="1"/>
  <c r="B12" i="35"/>
  <c r="B14" i="35" s="1"/>
  <c r="B24" i="35" s="1"/>
  <c r="H10" i="35"/>
  <c r="H12" i="35" s="1"/>
  <c r="H14" i="35" s="1"/>
  <c r="H24" i="35" s="1"/>
  <c r="T137" i="1"/>
  <c r="R138" i="1"/>
  <c r="R141" i="1"/>
  <c r="G104" i="20"/>
  <c r="G107" i="20"/>
  <c r="G108" i="20" s="1"/>
  <c r="T141" i="1" l="1"/>
  <c r="R142" i="1"/>
  <c r="T142" i="1" s="1"/>
  <c r="S141" i="1"/>
  <c r="Q142" i="1"/>
  <c r="T138" i="1"/>
  <c r="S142" i="1" l="1"/>
  <c r="H5" i="34"/>
  <c r="H7" i="34" s="1"/>
</calcChain>
</file>

<file path=xl/comments1.xml><?xml version="1.0" encoding="utf-8"?>
<comments xmlns="http://schemas.openxmlformats.org/spreadsheetml/2006/main">
  <authors>
    <author>Dawn Jacobson</author>
  </authors>
  <commentList>
    <comment ref="E17" authorId="0">
      <text>
        <r>
          <rPr>
            <b/>
            <sz val="9"/>
            <color indexed="81"/>
            <rFont val="Tahoma"/>
            <family val="2"/>
          </rPr>
          <t>Dawn Jacobson:</t>
        </r>
        <r>
          <rPr>
            <sz val="9"/>
            <color indexed="81"/>
            <rFont val="Tahoma"/>
            <family val="2"/>
          </rPr>
          <t xml:space="preserve">
$1,000 to Dedicated Tech Fund
$16,8100 to Restricted Tech Fund</t>
        </r>
      </text>
    </comment>
  </commentList>
</comments>
</file>

<file path=xl/comments10.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2.xml><?xml version="1.0" encoding="utf-8"?>
<comments xmlns="http://schemas.openxmlformats.org/spreadsheetml/2006/main">
  <authors>
    <author>Dawn Jacobson</author>
  </authors>
  <commentList>
    <comment ref="C12" authorId="0">
      <text>
        <r>
          <rPr>
            <b/>
            <sz val="9"/>
            <color indexed="81"/>
            <rFont val="Tahoma"/>
            <family val="2"/>
          </rPr>
          <t>Dawn Jacobson:</t>
        </r>
        <r>
          <rPr>
            <sz val="9"/>
            <color indexed="81"/>
            <rFont val="Tahoma"/>
            <family val="2"/>
          </rPr>
          <t xml:space="preserve">
Misc Income is $ received for Space/Rent, Donations, Quilter's Donations, etc.</t>
        </r>
      </text>
    </comment>
    <comment ref="D99" authorId="0">
      <text>
        <r>
          <rPr>
            <b/>
            <sz val="9"/>
            <color indexed="81"/>
            <rFont val="Tahoma"/>
            <family val="2"/>
          </rPr>
          <t>Dawn Jacobson:</t>
        </r>
        <r>
          <rPr>
            <sz val="9"/>
            <color indexed="81"/>
            <rFont val="Tahoma"/>
            <family val="2"/>
          </rPr>
          <t xml:space="preserve">
Didn't budget hours as Glenn works 20 hours and Marc should only be working when Glenn can't.</t>
        </r>
      </text>
    </comment>
    <comment ref="C101" authorId="0">
      <text>
        <r>
          <rPr>
            <b/>
            <sz val="9"/>
            <color indexed="81"/>
            <rFont val="Tahoma"/>
            <family val="2"/>
          </rPr>
          <t>Dawn Jacobson:</t>
        </r>
        <r>
          <rPr>
            <sz val="9"/>
            <color indexed="81"/>
            <rFont val="Tahoma"/>
            <family val="2"/>
          </rPr>
          <t xml:space="preserve">
Pay is $25/week so using 1 hour for 52 weeks at $25/week</t>
        </r>
      </text>
    </comment>
    <comment ref="C102" authorId="0">
      <text>
        <r>
          <rPr>
            <b/>
            <sz val="9"/>
            <color indexed="81"/>
            <rFont val="Tahoma"/>
            <family val="2"/>
          </rPr>
          <t>Dawn Jacobson:</t>
        </r>
        <r>
          <rPr>
            <sz val="9"/>
            <color indexed="81"/>
            <rFont val="Tahoma"/>
            <family val="2"/>
          </rPr>
          <t xml:space="preserve">
Hours should be 15-20 per week</t>
        </r>
      </text>
    </comment>
  </commentList>
</comments>
</file>

<file path=xl/comments3.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4.xml><?xml version="1.0" encoding="utf-8"?>
<comments xmlns="http://schemas.openxmlformats.org/spreadsheetml/2006/main">
  <authors>
    <author>Dawn Jacobson</author>
  </authors>
  <commentList>
    <comment ref="O23" authorId="0">
      <text>
        <r>
          <rPr>
            <b/>
            <sz val="9"/>
            <color indexed="81"/>
            <rFont val="Tahoma"/>
            <family val="2"/>
          </rPr>
          <t>Dawn Jacobson:</t>
        </r>
        <r>
          <rPr>
            <sz val="9"/>
            <color indexed="81"/>
            <rFont val="Tahoma"/>
            <family val="2"/>
          </rPr>
          <t xml:space="preserve">
Zillo Rent Estimate 12/14/24  $456,6000 price of home currently</t>
        </r>
      </text>
    </comment>
    <comment ref="V23" authorId="0">
      <text>
        <r>
          <rPr>
            <b/>
            <sz val="9"/>
            <color indexed="81"/>
            <rFont val="Tahoma"/>
            <family val="2"/>
          </rPr>
          <t>Dawn Jacobson:</t>
        </r>
        <r>
          <rPr>
            <sz val="9"/>
            <color indexed="81"/>
            <rFont val="Tahoma"/>
            <family val="2"/>
          </rPr>
          <t xml:space="preserve">
Zillo Rent Estimate 12/14/24  $456,6000 price of home currently</t>
        </r>
      </text>
    </comment>
  </commentList>
</comments>
</file>

<file path=xl/comments5.xml><?xml version="1.0" encoding="utf-8"?>
<comments xmlns="http://schemas.openxmlformats.org/spreadsheetml/2006/main">
  <authors>
    <author>Dawn Jacobson</author>
  </authors>
  <commentList>
    <comment ref="M21" authorId="0">
      <text>
        <r>
          <rPr>
            <b/>
            <sz val="9"/>
            <color indexed="81"/>
            <rFont val="Tahoma"/>
            <family val="2"/>
          </rPr>
          <t>Dawn Jacobson:</t>
        </r>
        <r>
          <rPr>
            <sz val="9"/>
            <color indexed="81"/>
            <rFont val="Tahoma"/>
            <family val="2"/>
          </rPr>
          <t xml:space="preserve">
Zillow Estimate 12/14/24 
House sold $469,900</t>
        </r>
      </text>
    </comment>
    <comment ref="T21" authorId="0">
      <text>
        <r>
          <rPr>
            <b/>
            <sz val="9"/>
            <color indexed="81"/>
            <rFont val="Tahoma"/>
            <family val="2"/>
          </rPr>
          <t>Dawn Jacobson:</t>
        </r>
        <r>
          <rPr>
            <sz val="9"/>
            <color indexed="81"/>
            <rFont val="Tahoma"/>
            <family val="2"/>
          </rPr>
          <t xml:space="preserve">
Zillow Estimate 12/14/24 
House sold $469,900</t>
        </r>
      </text>
    </comment>
    <comment ref="M25" authorId="0">
      <text>
        <r>
          <rPr>
            <b/>
            <sz val="9"/>
            <color indexed="81"/>
            <rFont val="Tahoma"/>
            <family val="2"/>
          </rPr>
          <t>Dawn Jacobson:</t>
        </r>
        <r>
          <rPr>
            <sz val="9"/>
            <color indexed="81"/>
            <rFont val="Tahoma"/>
            <family val="2"/>
          </rPr>
          <t xml:space="preserve">
Not needed as they put a large amount down on the home purchase.</t>
        </r>
      </text>
    </comment>
    <comment ref="T25" authorId="0">
      <text>
        <r>
          <rPr>
            <b/>
            <sz val="9"/>
            <color indexed="81"/>
            <rFont val="Tahoma"/>
            <family val="2"/>
          </rPr>
          <t>Dawn Jacobson:</t>
        </r>
        <r>
          <rPr>
            <sz val="9"/>
            <color indexed="81"/>
            <rFont val="Tahoma"/>
            <family val="2"/>
          </rPr>
          <t xml:space="preserve">
Not needed as they put a large amount down on the home purchase.</t>
        </r>
      </text>
    </comment>
    <comment ref="M28" authorId="0">
      <text>
        <r>
          <rPr>
            <b/>
            <sz val="9"/>
            <color indexed="81"/>
            <rFont val="Tahoma"/>
            <family val="2"/>
          </rPr>
          <t>Dawn Jacobson:</t>
        </r>
        <r>
          <rPr>
            <sz val="9"/>
            <color indexed="81"/>
            <rFont val="Tahoma"/>
            <family val="2"/>
          </rPr>
          <t xml:space="preserve">
Zillow Estimate 12/14/24 
House sold $469,900</t>
        </r>
      </text>
    </comment>
    <comment ref="M32" authorId="0">
      <text>
        <r>
          <rPr>
            <b/>
            <sz val="9"/>
            <color indexed="81"/>
            <rFont val="Tahoma"/>
            <family val="2"/>
          </rPr>
          <t>Dawn Jacobson:</t>
        </r>
        <r>
          <rPr>
            <sz val="9"/>
            <color indexed="81"/>
            <rFont val="Tahoma"/>
            <family val="2"/>
          </rPr>
          <t xml:space="preserve">
Not needed as they put a large amount down on the home purchase.</t>
        </r>
      </text>
    </comment>
    <comment ref="M35" authorId="0">
      <text>
        <r>
          <rPr>
            <b/>
            <sz val="9"/>
            <color indexed="81"/>
            <rFont val="Tahoma"/>
            <family val="2"/>
          </rPr>
          <t>Dawn Jacobson:</t>
        </r>
        <r>
          <rPr>
            <sz val="9"/>
            <color indexed="81"/>
            <rFont val="Tahoma"/>
            <family val="2"/>
          </rPr>
          <t xml:space="preserve">
Zillow Estimate 12/14/24 
House sold $469,900</t>
        </r>
      </text>
    </comment>
    <comment ref="M39" authorId="0">
      <text>
        <r>
          <rPr>
            <b/>
            <sz val="9"/>
            <color indexed="81"/>
            <rFont val="Tahoma"/>
            <family val="2"/>
          </rPr>
          <t>Dawn Jacobson:</t>
        </r>
        <r>
          <rPr>
            <sz val="9"/>
            <color indexed="81"/>
            <rFont val="Tahoma"/>
            <family val="2"/>
          </rPr>
          <t xml:space="preserve">
Not needed as they put a large amount down on the home purchase.</t>
        </r>
      </text>
    </comment>
    <comment ref="M50" authorId="0">
      <text>
        <r>
          <rPr>
            <b/>
            <sz val="9"/>
            <color indexed="81"/>
            <rFont val="Tahoma"/>
            <family val="2"/>
          </rPr>
          <t>Dawn Jacobson:</t>
        </r>
        <r>
          <rPr>
            <sz val="9"/>
            <color indexed="81"/>
            <rFont val="Tahoma"/>
            <family val="2"/>
          </rPr>
          <t xml:space="preserve">
Not needed as they put a large amount down on the home purchase.</t>
        </r>
      </text>
    </comment>
  </commentList>
</comments>
</file>

<file path=xl/comments6.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7.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8.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9.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<sst xmlns="http://schemas.openxmlformats.org/spreadsheetml/2006/main" count="1707" uniqueCount="885">
  <si>
    <t>Income</t>
  </si>
  <si>
    <t>Envelope Giving</t>
  </si>
  <si>
    <t>Easter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</si>
  <si>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</si>
  <si>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</si>
  <si>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</si>
  <si>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</si>
  <si>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</si>
  <si>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</si>
  <si>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</si>
  <si>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</si>
  <si>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</si>
  <si>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</si>
  <si>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</si>
  <si>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</si>
  <si>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</si>
  <si>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</si>
  <si>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</si>
  <si>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</si>
  <si>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</si>
  <si>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</si>
  <si>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</si>
  <si>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</si>
  <si>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</si>
  <si>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</si>
  <si>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</si>
  <si>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</si>
  <si>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</si>
  <si>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</si>
  <si>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</si>
  <si>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</si>
  <si>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</si>
  <si>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</si>
  <si>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</si>
  <si>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</si>
  <si>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</si>
  <si>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</si>
  <si>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</si>
  <si>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</si>
  <si>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</si>
  <si>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</si>
  <si>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</si>
  <si>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</si>
  <si>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</si>
  <si>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</si>
  <si>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</si>
  <si>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</si>
  <si>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</si>
  <si>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</si>
  <si>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</si>
  <si>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</si>
  <si>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</si>
  <si>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</si>
  <si>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</si>
  <si>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</si>
  <si>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</si>
  <si>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</si>
  <si>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</si>
  <si>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</si>
  <si>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</si>
  <si>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</si>
  <si>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</si>
  <si>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</si>
  <si>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</si>
  <si>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</si>
  <si>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</si>
  <si>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</si>
  <si>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</si>
  <si>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</si>
  <si>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</si>
  <si>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</si>
  <si>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</si>
  <si>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</si>
  <si>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</si>
  <si>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</si>
  <si>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</si>
  <si>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</si>
  <si>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</si>
  <si>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</si>
  <si>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</si>
  <si>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</si>
  <si>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</si>
  <si>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</si>
  <si>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</si>
  <si>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</si>
  <si>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</si>
  <si>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</si>
  <si>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</si>
  <si>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</si>
  <si>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</si>
  <si>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</si>
  <si>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</si>
  <si>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</si>
  <si>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</si>
  <si>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</si>
  <si>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</si>
  <si>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</si>
  <si>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</si>
  <si>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</si>
  <si>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</si>
  <si>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</si>
  <si>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</si>
  <si>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</si>
  <si>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</si>
  <si>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</si>
  <si>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</si>
  <si>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</si>
  <si>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</si>
  <si>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</si>
  <si>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</si>
  <si>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</si>
  <si>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</si>
  <si>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</si>
  <si>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</si>
  <si>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</si>
  <si>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</si>
  <si>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</si>
  <si>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</si>
  <si>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</si>
  <si>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</si>
  <si>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</si>
  <si>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</si>
  <si>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</si>
  <si>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</si>
  <si>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</si>
  <si>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</si>
  <si>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</si>
  <si>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</si>
  <si>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</si>
  <si>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</si>
  <si>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</si>
  <si>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</si>
  <si>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</si>
  <si>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</si>
  <si>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</si>
  <si>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</si>
  <si>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</si>
  <si>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</si>
  <si>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</si>
  <si>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</si>
  <si>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</si>
  <si>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</si>
  <si>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</si>
  <si>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</si>
  <si>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</si>
  <si>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</si>
  <si>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</si>
  <si>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</si>
  <si>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</si>
  <si>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</si>
  <si>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</si>
  <si>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</si>
  <si>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</si>
  <si>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</si>
  <si>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</si>
  <si>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</si>
  <si>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</si>
  <si>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</si>
  <si>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</si>
  <si>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</si>
  <si>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</si>
  <si>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</si>
  <si>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</si>
  <si>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</si>
  <si>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</si>
  <si>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</si>
  <si>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</si>
  <si>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</si>
  <si>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</si>
  <si>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</si>
  <si>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</si>
  <si>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</si>
  <si>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</si>
  <si>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</si>
  <si>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</si>
  <si>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</si>
  <si>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</si>
  <si>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</si>
  <si>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</si>
  <si>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</si>
  <si>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</si>
  <si>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</si>
  <si>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</si>
  <si>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</si>
  <si>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</si>
  <si>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</si>
  <si>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</si>
  <si>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</si>
  <si>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</si>
  <si>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</si>
  <si>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</si>
  <si>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</si>
  <si>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</si>
  <si>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</si>
  <si>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</si>
  <si>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</si>
  <si>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</si>
  <si>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</si>
  <si>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</si>
  <si>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</si>
  <si>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</si>
  <si>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</si>
  <si>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</si>
  <si>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</si>
  <si>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</si>
  <si>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</si>
  <si>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</si>
  <si>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</si>
  <si>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</si>
  <si>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</si>
  <si>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</si>
  <si>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</si>
  <si>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</si>
  <si>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</si>
  <si>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</si>
  <si>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</si>
  <si>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</si>
  <si>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</si>
  <si>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</si>
  <si>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</si>
  <si>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</si>
  <si>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</si>
  <si>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</si>
  <si>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</si>
  <si>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</si>
  <si>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</si>
  <si>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</si>
  <si>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</si>
  <si>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</si>
  <si>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</si>
  <si>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</si>
  <si>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</si>
  <si>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</si>
  <si>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</si>
  <si>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</si>
  <si>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</si>
  <si>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</si>
  <si>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</si>
  <si>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</si>
  <si>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</si>
  <si>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</si>
  <si>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</si>
  <si>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</si>
  <si>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</si>
  <si>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</si>
  <si>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</si>
  <si>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</si>
  <si>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</si>
  <si>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</si>
  <si>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</si>
  <si>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</si>
  <si>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</si>
  <si>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</si>
  <si>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</si>
  <si>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</si>
  <si>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</si>
  <si>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</si>
  <si>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</si>
  <si>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</si>
  <si>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</si>
  <si>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</si>
  <si>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</si>
  <si>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</si>
  <si>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</si>
  <si>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</si>
  <si>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</si>
  <si>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</si>
  <si>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</si>
  <si>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</si>
  <si>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</si>
  <si>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</si>
  <si>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</si>
  <si>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</si>
  <si>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</si>
  <si>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</si>
  <si>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</si>
  <si>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</si>
  <si>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</si>
  <si>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</si>
  <si>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</si>
  <si>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</si>
  <si>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</si>
  <si>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</si>
  <si>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</si>
  <si>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</si>
  <si>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</si>
  <si>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</si>
  <si>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</si>
  <si>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</si>
  <si>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</si>
  <si>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</si>
  <si>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</si>
  <si>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</si>
  <si>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</si>
  <si>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</si>
  <si>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</si>
  <si>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</si>
  <si>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</si>
  <si>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</si>
  <si>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</si>
  <si>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</si>
  <si>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</si>
  <si>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</si>
  <si>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</si>
  <si>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</si>
  <si>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</si>
  <si>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</si>
  <si>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</si>
  <si>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</si>
  <si>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</si>
  <si>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</si>
  <si>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</si>
  <si>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</si>
  <si>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</si>
  <si>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</si>
  <si>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</si>
  <si>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</si>
  <si>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</si>
  <si>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</si>
  <si>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</si>
  <si>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</si>
  <si>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</si>
  <si>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</si>
  <si>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</si>
  <si>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</si>
  <si>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</si>
  <si>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</si>
  <si>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</si>
  <si>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</si>
  <si>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</si>
  <si>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</si>
  <si>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</si>
  <si>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</si>
  <si>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</si>
  <si>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</si>
  <si>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</si>
  <si>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</si>
  <si>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</si>
  <si>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</si>
  <si>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</si>
  <si>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</si>
  <si>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</si>
  <si>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</si>
  <si>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</si>
  <si>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</si>
  <si>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</si>
  <si>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</si>
  <si>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</si>
  <si>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</si>
  <si>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</si>
  <si>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</si>
  <si>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</si>
  <si>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</si>
  <si>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</si>
  <si>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</si>
  <si>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</si>
  <si>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</si>
  <si>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</si>
  <si>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</si>
  <si>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</si>
  <si>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</si>
  <si>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</si>
  <si>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</si>
  <si>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</si>
  <si>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</si>
  <si>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</si>
  <si>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</si>
  <si>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</si>
  <si>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</si>
  <si>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</si>
  <si>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</si>
  <si>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</si>
  <si>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</si>
  <si>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</si>
  <si>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</si>
  <si>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</si>
  <si>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</si>
  <si>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</si>
  <si>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</si>
  <si>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</si>
  <si>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</si>
  <si>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</si>
  <si>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</si>
  <si>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</si>
  <si>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</si>
  <si>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</si>
  <si>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</si>
  <si>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</si>
  <si>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</si>
  <si>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</si>
  <si>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</si>
  <si>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</si>
  <si>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</si>
  <si>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</si>
  <si>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</si>
  <si>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</si>
  <si>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</si>
  <si>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</si>
  <si>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</si>
  <si>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</si>
  <si>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</si>
  <si>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</si>
  <si>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</si>
  <si>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</si>
  <si>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</si>
  <si>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</si>
  <si>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</si>
  <si>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</si>
  <si>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</si>
  <si>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</si>
  <si>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</si>
  <si>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</si>
  <si>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</si>
  <si>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</si>
  <si>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</si>
  <si>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</si>
  <si>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</si>
  <si>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</si>
  <si>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</si>
  <si>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</si>
  <si>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</si>
  <si>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</si>
  <si>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</si>
  <si>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</si>
  <si>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</si>
  <si>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</si>
  <si>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</si>
  <si>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</si>
  <si>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</si>
  <si>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</si>
  <si>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</si>
  <si>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</si>
  <si>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</si>
  <si>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</si>
  <si>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</si>
  <si>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</si>
  <si>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</si>
  <si>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</si>
  <si>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</si>
  <si>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</si>
  <si>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</si>
  <si>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</si>
  <si>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</si>
  <si>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</si>
  <si>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</si>
  <si>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</si>
  <si>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</si>
  <si>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</si>
  <si>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</si>
  <si>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</si>
  <si>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</si>
  <si>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</si>
  <si>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</si>
  <si>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</si>
  <si>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</si>
  <si>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</si>
  <si>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</si>
  <si>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</si>
  <si>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</si>
  <si>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</si>
  <si>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</si>
  <si>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</si>
  <si>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</si>
  <si>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</si>
  <si>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</si>
  <si>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</si>
  <si>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</si>
  <si>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</si>
  <si>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</si>
  <si>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</si>
  <si>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</si>
  <si>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</si>
  <si>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</si>
  <si>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</si>
  <si>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</si>
  <si>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</si>
  <si>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</si>
  <si>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</si>
  <si>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</si>
  <si>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</si>
  <si>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</si>
  <si>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</si>
  <si>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</si>
  <si>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</si>
  <si>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</si>
  <si>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</si>
  <si>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</si>
  <si>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</si>
  <si>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</si>
  <si>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</si>
  <si>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</si>
  <si>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</si>
  <si>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</si>
  <si>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</si>
  <si>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</si>
  <si>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</si>
  <si>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</si>
  <si>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</si>
  <si>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</si>
  <si>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</si>
  <si>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</si>
  <si>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</si>
  <si>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</si>
  <si>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</si>
  <si>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</si>
  <si>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</si>
  <si>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</si>
  <si>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</si>
  <si>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</si>
  <si>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</si>
  <si>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</si>
  <si>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</si>
  <si>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</si>
  <si>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</si>
  <si>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</si>
  <si>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</si>
  <si>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</si>
  <si>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</si>
  <si>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</si>
  <si>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</si>
  <si>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</si>
  <si>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</si>
  <si>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</si>
  <si>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</si>
  <si>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</si>
  <si>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</si>
  <si>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</si>
  <si>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</si>
  <si>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</si>
  <si>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</si>
  <si>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</si>
  <si>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</si>
  <si>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</si>
  <si>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</si>
  <si>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</si>
  <si>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</si>
  <si>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</si>
  <si>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</si>
  <si>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</si>
  <si>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</si>
  <si>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</si>
  <si>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</si>
  <si>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</si>
  <si>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</si>
  <si>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</si>
  <si>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</si>
  <si>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</si>
  <si>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</si>
  <si>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</si>
  <si>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</si>
  <si>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</si>
  <si>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</si>
  <si>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</si>
  <si>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</si>
  <si>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</si>
  <si>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</si>
  <si>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</si>
  <si>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</si>
  <si>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</si>
  <si>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</si>
  <si>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</si>
  <si>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</si>
  <si>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</si>
  <si>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</si>
  <si>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</si>
  <si>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</si>
  <si>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</si>
  <si>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</si>
  <si>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</si>
  <si>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</si>
  <si>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</si>
  <si>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</si>
  <si>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</si>
  <si>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</si>
  <si>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</si>
  <si>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</si>
  <si>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</si>
  <si>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</si>
  <si>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</si>
  <si>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</si>
  <si>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</si>
  <si>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</si>
  <si>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</si>
  <si>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</si>
  <si>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</si>
  <si>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</si>
  <si>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</si>
  <si>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</si>
  <si>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</si>
  <si>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</si>
  <si>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</si>
  <si>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</si>
  <si>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</si>
  <si>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</si>
  <si>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</si>
  <si>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</si>
  <si>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</si>
  <si>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</si>
  <si>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</si>
  <si>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</si>
  <si>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</si>
  <si>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</si>
  <si>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</si>
  <si>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</si>
  <si>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</si>
  <si>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</si>
  <si>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</si>
  <si>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</si>
  <si>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</si>
  <si>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</si>
  <si>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</si>
  <si>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</si>
  <si>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</si>
  <si>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</si>
  <si>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</si>
  <si>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</si>
  <si>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</si>
  <si>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</si>
  <si>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</si>
  <si>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</si>
  <si>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</si>
  <si>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</si>
  <si>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</si>
  <si>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B&amp;G:  Decorating Fund</t>
  </si>
  <si>
    <t>Needed training</t>
  </si>
  <si>
    <t>Pay Benevolence Quarterly</t>
  </si>
  <si>
    <t>Notes</t>
  </si>
  <si>
    <t>Expense was for parking lot</t>
  </si>
  <si>
    <t>Restricted Estate Fund</t>
  </si>
  <si>
    <t>Specifc Family Requests</t>
  </si>
  <si>
    <t>Visioning Priority Fund</t>
  </si>
  <si>
    <t>Increase</t>
  </si>
  <si>
    <t>Living Faith Meal (Racine Cluster)</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</si>
  <si>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</si>
  <si>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</si>
  <si>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</si>
  <si>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</si>
  <si>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</si>
  <si>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</si>
  <si>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</si>
  <si>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</si>
  <si>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</si>
  <si>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</si>
  <si>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</si>
  <si>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</si>
  <si>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</si>
  <si>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</si>
  <si>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</si>
  <si>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</si>
  <si>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</si>
  <si>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</si>
  <si>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</si>
  <si>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</si>
  <si>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</si>
  <si>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</si>
  <si>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</si>
  <si>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</si>
  <si>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</si>
  <si>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</si>
  <si>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</si>
  <si>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</si>
  <si>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</si>
  <si>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</si>
  <si>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</si>
  <si>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</si>
  <si>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</si>
  <si>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</si>
  <si>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________________________________________________________</t>
  </si>
  <si>
    <t xml:space="preserve">The Lutheran Church of the Resurrection Finance Committee advises the Executive </t>
  </si>
  <si>
    <t>Federal Income Tax with respect to the housing allowance paid as part of compensation</t>
  </si>
  <si>
    <t>Rounded to highest $100</t>
  </si>
  <si>
    <t>Home owners Ins. &amp; Mortgage Ins.</t>
  </si>
  <si>
    <t>owns a home, this amount is the smallest of:</t>
  </si>
  <si>
    <t>2024 ELCA
 Guidelines</t>
  </si>
  <si>
    <t>Seminarian Fund</t>
  </si>
  <si>
    <t>Provide by member for someone to go to Seminary</t>
  </si>
  <si>
    <t>Food Cupboard Fund</t>
  </si>
  <si>
    <t>Holding account for money that is donated and then check written to the Food Cupboard</t>
  </si>
  <si>
    <t>Youth Mission Trips and ELCA Youth Gathering trips</t>
  </si>
  <si>
    <t>Technology Fund</t>
  </si>
  <si>
    <t>Reconciling in Christ (Reconciling Ministry)</t>
  </si>
  <si>
    <t>2024 purchased $156 for books</t>
  </si>
  <si>
    <t>Pastor Contracts</t>
  </si>
  <si>
    <t>Events and fuctions good will offerrings less expenses (Priority #4)</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</si>
  <si>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</si>
  <si>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</si>
  <si>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</si>
  <si>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</si>
  <si>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</si>
  <si>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</si>
  <si>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</si>
  <si>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</si>
  <si>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TOTAL MUSICIANS</t>
  </si>
  <si>
    <t>Staff Christmas Gifts</t>
  </si>
  <si>
    <t>Ryan Gerlach</t>
  </si>
  <si>
    <t>Start date:  9/5/24</t>
  </si>
  <si>
    <t>Start 9/5/2024</t>
  </si>
  <si>
    <t>2024 Contract</t>
  </si>
  <si>
    <t>Also, up to $5,000 for moving/travel, $900 for one family trip, and  $1000 is still available for decorating of office.</t>
  </si>
  <si>
    <t>2025 ELCA
 Guidelines</t>
  </si>
  <si>
    <t>Pastor Healthcare Premium</t>
  </si>
  <si>
    <t>Glenn</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</si>
  <si>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</si>
  <si>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</si>
  <si>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</si>
  <si>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</si>
  <si>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</si>
  <si>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</si>
  <si>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</si>
  <si>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</si>
  <si>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</si>
  <si>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</si>
  <si>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</si>
  <si>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</si>
  <si>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</si>
  <si>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Loose and Misc. Income</t>
  </si>
  <si>
    <t>Misc Income is "rent" from Quilters, etc</t>
  </si>
  <si>
    <t>Budget:  Flutist, Bell Choir lead (no Summer special musicans)</t>
  </si>
  <si>
    <t>2025 Budget:  2 sundays per John  2024 Budget:  6 sundays includes mileage ($275/Sunday)</t>
  </si>
  <si>
    <t>One month Lag</t>
  </si>
  <si>
    <t>Laundry of Love</t>
  </si>
  <si>
    <t>New Member Program</t>
  </si>
  <si>
    <t>2024:  5 TVs for SS/Adult Ed $1,800 max</t>
  </si>
  <si>
    <t>Add in any money from sale of band equipment during "clean up" in 2024</t>
  </si>
  <si>
    <t>Next year need to add this</t>
  </si>
  <si>
    <t>2% COLA and 2% Experience</t>
  </si>
  <si>
    <t>Home Warranty</t>
  </si>
  <si>
    <t>Internet</t>
  </si>
  <si>
    <t>Mortgage Ins.</t>
  </si>
  <si>
    <t>Garage Springs (2)</t>
  </si>
  <si>
    <t>Expense Account Owner</t>
  </si>
  <si>
    <t>Barb Steberl</t>
  </si>
  <si>
    <t>Kathy Anderson</t>
  </si>
  <si>
    <t>P. John A.</t>
  </si>
  <si>
    <t>Stacey Robe</t>
  </si>
  <si>
    <t>Cheryl C.</t>
  </si>
  <si>
    <t>Steve J.</t>
  </si>
  <si>
    <t>Mary Hauch</t>
  </si>
  <si>
    <t>Cheryl. C.</t>
  </si>
  <si>
    <t>Dawn J.</t>
  </si>
  <si>
    <t>Jon Wint</t>
  </si>
  <si>
    <t>Jay Weiss</t>
  </si>
  <si>
    <t>Sandy Georgeson</t>
  </si>
  <si>
    <t>Gayle Wint</t>
  </si>
  <si>
    <t>Women of the Vine</t>
  </si>
  <si>
    <t>Lynette J.</t>
  </si>
  <si>
    <t>P. Ryan G.</t>
  </si>
  <si>
    <t>Jeff. Wunderle</t>
  </si>
  <si>
    <t>???</t>
  </si>
  <si>
    <t>Est:  $480k or increase of $76k</t>
  </si>
  <si>
    <t>Greater Milw. Synod</t>
  </si>
  <si>
    <t>New Total Benevolence for 2024</t>
  </si>
  <si>
    <t>Fin. Comm.</t>
  </si>
  <si>
    <t>Fin. /Council</t>
  </si>
  <si>
    <t>Council</t>
  </si>
  <si>
    <t>HOA Fee</t>
  </si>
  <si>
    <t xml:space="preserve">Water </t>
  </si>
  <si>
    <t>Home owners Ins.</t>
  </si>
  <si>
    <t>2024 Additional Funds</t>
  </si>
  <si>
    <t>2024 Spending</t>
  </si>
  <si>
    <t>2024 ending Balance</t>
  </si>
  <si>
    <t>Trend Micro Subscription</t>
  </si>
  <si>
    <t>New Service</t>
  </si>
  <si>
    <t>Adobe Premiem License</t>
  </si>
  <si>
    <t>ProPresenter License</t>
  </si>
  <si>
    <t>Microsoft Exchange License</t>
  </si>
  <si>
    <t>Social Media Marketing</t>
  </si>
  <si>
    <t>Shephard Staff Accounting</t>
  </si>
  <si>
    <t>Flock Note License</t>
  </si>
  <si>
    <t>I drive Server Backup</t>
  </si>
  <si>
    <t xml:space="preserve">New  </t>
  </si>
  <si>
    <t>New</t>
  </si>
  <si>
    <t>Ring Door Bell</t>
  </si>
  <si>
    <t>Name.com</t>
  </si>
  <si>
    <t>Not need this year</t>
  </si>
  <si>
    <t>Not need</t>
  </si>
  <si>
    <t>Sound System/Tech Booth</t>
  </si>
  <si>
    <t>2026 Additional Needs</t>
  </si>
  <si>
    <t>Total Additional for 2026</t>
  </si>
  <si>
    <t>2027-2030 Additional</t>
  </si>
  <si>
    <t>Total Additional 2027-2030</t>
  </si>
  <si>
    <t>Budget goes into Dedicated fund if not used in current year</t>
  </si>
  <si>
    <t>Fellowship Hall:   Sound</t>
  </si>
  <si>
    <t>Fellowship Hall:   2nd TV</t>
  </si>
  <si>
    <t>Tech Booth:   Stream Hardware</t>
  </si>
  <si>
    <t>Tech Booth:   Computer Replacement</t>
  </si>
  <si>
    <t>Conference Room:  Phase 1 renovation</t>
  </si>
  <si>
    <t>Sanctuary:   4k projection</t>
  </si>
  <si>
    <t>Sanctuary:  Lighting system</t>
  </si>
  <si>
    <t>Conference Room:   Phase 2 renovation</t>
  </si>
  <si>
    <t>Tech Book:   Network upgrade (Ubiquiti UniFi?)</t>
  </si>
  <si>
    <t>Media:   New Camera</t>
  </si>
  <si>
    <t>3 year subscription</t>
  </si>
  <si>
    <t>Additional Increase 10%</t>
  </si>
  <si>
    <t>Not sure on this</t>
  </si>
  <si>
    <t>New:  Future Technology Dedicated/Restricted</t>
  </si>
  <si>
    <t>Any charges must be approved by Council only!</t>
  </si>
  <si>
    <t>Housing Letters (John and Ryan) - Need copy for my files.</t>
  </si>
  <si>
    <t>Move Continuing Ed expense to dedicated John and Ryan (need separate accounts)</t>
  </si>
  <si>
    <t>Benevolance:  10% total income.  To the 5 groups</t>
  </si>
  <si>
    <t>Year end staff gifts:</t>
  </si>
  <si>
    <t xml:space="preserve">  $195 gift cards</t>
  </si>
  <si>
    <t xml:space="preserve">  3 checks</t>
  </si>
  <si>
    <t>Pastor Healthcare premium</t>
  </si>
  <si>
    <t>Bi Weekly Premiums for 2025</t>
  </si>
  <si>
    <t xml:space="preserve">     Health Care Penalty</t>
  </si>
  <si>
    <t>Budget:  12 months including substitutes (52 weeks)</t>
  </si>
  <si>
    <t>Technology - Subscriptions</t>
  </si>
  <si>
    <t>Technology - Discretionary</t>
  </si>
  <si>
    <t>Pass through to Laundry of Love Organization</t>
  </si>
  <si>
    <t>2024 donation for specific things for "pastor wishes" for the church</t>
  </si>
  <si>
    <t>Pastoral Discretionary Fund</t>
  </si>
  <si>
    <t>Future Technology</t>
  </si>
  <si>
    <t>For 2026 known expenses</t>
  </si>
  <si>
    <t>2024 Actual</t>
  </si>
  <si>
    <t>Housekeeping - Rebecca (20 hrs/week)</t>
  </si>
  <si>
    <t>Lead Custodian - Glenn Napier (20 hrs/week)</t>
  </si>
  <si>
    <t>Per service performed</t>
  </si>
  <si>
    <t>Non Salary Positions:</t>
  </si>
  <si>
    <t>Custodian - Marc Henkel (as needed)</t>
  </si>
  <si>
    <t>Marc</t>
  </si>
  <si>
    <t>Total annually</t>
  </si>
  <si>
    <t>Slightly more hours in case it is needed:  Glenn/Mark = 1, Rebecca</t>
  </si>
  <si>
    <t>Connie G.</t>
  </si>
  <si>
    <t>Kristin F.</t>
  </si>
  <si>
    <t>Community Building usage replenishment</t>
  </si>
  <si>
    <t>Money for Jim S to purchase needed music, etc.</t>
  </si>
  <si>
    <t>2026 Budget</t>
  </si>
  <si>
    <t>Bi Weekly Premiums for 2027</t>
  </si>
  <si>
    <t>2026 Housing Allowance for Pastor John Anderson</t>
  </si>
  <si>
    <t xml:space="preserve">a home during the period of January to December 2026 and in light of the Federal </t>
  </si>
  <si>
    <t>for the year 2026.</t>
  </si>
  <si>
    <t>(Kristin Fritz, Council President)</t>
  </si>
  <si>
    <r>
      <t xml:space="preserve">Pastor John Anderson is to receive a housing allowance of </t>
    </r>
    <r>
      <rPr>
        <sz val="12"/>
        <color rgb="FF0000FF"/>
        <rFont val="Arial"/>
        <family val="2"/>
      </rPr>
      <t>$24,000</t>
    </r>
  </si>
  <si>
    <t>The greater Neighborhood Camp</t>
  </si>
  <si>
    <t>$250 for Racine Interfaith Coalition advertisement for 1/4 page color ad</t>
  </si>
  <si>
    <t>$500 Christmas Party, $200 Council exit Gifts</t>
  </si>
  <si>
    <t xml:space="preserve"> Jim S  get tuned closer to Christmas</t>
  </si>
  <si>
    <t>Questions for financial support</t>
  </si>
  <si>
    <t>12 months including substitutes (52 weeks)</t>
  </si>
  <si>
    <t>Flutist, Bell Choir lead</t>
  </si>
  <si>
    <t>2026 Housing Allowance for Pastor Ryan Gerlach</t>
  </si>
  <si>
    <r>
      <t>Pastor Ryan Gerlach is to receive a housing allowance of</t>
    </r>
    <r>
      <rPr>
        <sz val="12"/>
        <color rgb="FF0000FF"/>
        <rFont val="Arial"/>
        <family val="2"/>
      </rPr>
      <t xml:space="preserve"> $35,400</t>
    </r>
  </si>
  <si>
    <t>Emily J</t>
  </si>
  <si>
    <t>Nursery Attendant</t>
  </si>
  <si>
    <t>Coordinator of Volunteer and Care Ministry</t>
  </si>
  <si>
    <t>Kitchen Lead Supplies</t>
  </si>
  <si>
    <t>2026 Budget:  larger group per John</t>
  </si>
  <si>
    <t>2026 Budget:  per John</t>
  </si>
  <si>
    <t>2026 Budget:  per John will share costs for snacks and a few books</t>
  </si>
  <si>
    <t>Church Fellowship</t>
  </si>
  <si>
    <r>
      <rPr>
        <b/>
        <sz val="11"/>
        <color theme="1"/>
        <rFont val="Calibri"/>
        <family val="2"/>
        <scheme val="minor"/>
      </rPr>
      <t xml:space="preserve">New </t>
    </r>
    <r>
      <rPr>
        <sz val="11"/>
        <color theme="1"/>
        <rFont val="Calibri"/>
        <family val="2"/>
        <scheme val="minor"/>
      </rPr>
      <t>Sept 2025</t>
    </r>
  </si>
  <si>
    <r>
      <rPr>
        <b/>
        <sz val="11"/>
        <color theme="1"/>
        <rFont val="Calibri"/>
        <family val="2"/>
        <scheme val="minor"/>
      </rPr>
      <t>New</t>
    </r>
    <r>
      <rPr>
        <sz val="11"/>
        <color theme="1"/>
        <rFont val="Calibri"/>
        <family val="2"/>
        <scheme val="minor"/>
      </rPr>
      <t xml:space="preserve"> Sept 2025</t>
    </r>
  </si>
  <si>
    <t>2026 Budget:  per Mary H</t>
  </si>
  <si>
    <t>2026 Budget:  Per John for Res 101 (4 per year), New Member bags, Pamphlets (visitor and new member) and Ambassador Program</t>
  </si>
  <si>
    <t>Lent and Weekly</t>
  </si>
  <si>
    <t>Food for Lent.  Plus $40 Weekly (Goodwill donations seem to be covering)</t>
  </si>
  <si>
    <t>More new members</t>
  </si>
  <si>
    <t>2026 Budget:  per John need 3 to attend.  2025 only 1 person attended</t>
  </si>
  <si>
    <t>Staff Christmas Gifts (Increase due to staff increase)</t>
  </si>
  <si>
    <r>
      <t xml:space="preserve">2 sundays </t>
    </r>
    <r>
      <rPr>
        <b/>
        <sz val="11"/>
        <color rgb="FFFF0000"/>
        <rFont val="Calibri"/>
        <family val="2"/>
        <scheme val="minor"/>
      </rPr>
      <t xml:space="preserve"> Check ELCA guidelines for this amount</t>
    </r>
  </si>
  <si>
    <t>Both Pastor's Continuing Ed not used (carryover up to 3 years per contract)</t>
  </si>
  <si>
    <t>See detailed Technology Budget</t>
  </si>
  <si>
    <t>Costs for Recruiting new pastor, moving exp., Call committee expenses, etc</t>
  </si>
  <si>
    <t>Ending Balance</t>
  </si>
  <si>
    <t>Sunday School fundraised</t>
  </si>
  <si>
    <t>Sunday School Furniture</t>
  </si>
  <si>
    <t>2025 purchased lawn mower and trimer</t>
  </si>
  <si>
    <t>$5k moved to RezFest</t>
  </si>
  <si>
    <t>2025 Year End Tasks</t>
  </si>
  <si>
    <t>Workman's Comp for 2026???</t>
  </si>
  <si>
    <t>Technology Budget</t>
  </si>
  <si>
    <t>Pay Rates for 2026</t>
  </si>
  <si>
    <t>2025 Actual</t>
  </si>
  <si>
    <t>2026 Proposed Budget</t>
  </si>
  <si>
    <t>2026 Budget vs 2025 Budget</t>
  </si>
  <si>
    <t>2025 Actual vs Budget</t>
  </si>
  <si>
    <t>Men's Ministry</t>
  </si>
  <si>
    <r>
      <rPr>
        <b/>
        <sz val="11"/>
        <color theme="1"/>
        <rFont val="Calibri"/>
        <family val="2"/>
        <scheme val="minor"/>
      </rPr>
      <t>NEW</t>
    </r>
    <r>
      <rPr>
        <sz val="11"/>
        <color theme="1"/>
        <rFont val="Calibri"/>
        <family val="2"/>
        <scheme val="minor"/>
      </rPr>
      <t xml:space="preserve"> 2026 Budget</t>
    </r>
  </si>
  <si>
    <t>Costs to cover various expenses for our church camp - Includes Kitchen Inspection fee required for Camp (was $485 in 2025)</t>
  </si>
  <si>
    <t>August 2025 YTD</t>
  </si>
  <si>
    <t>I do not have insurance or housing for 2026 yet</t>
  </si>
  <si>
    <t>C. Cline</t>
  </si>
  <si>
    <t>NEW?  For replacements or new items needed in Kitchen</t>
  </si>
  <si>
    <r>
      <t xml:space="preserve">This is supplies like TP, paper towel, etc. </t>
    </r>
    <r>
      <rPr>
        <sz val="11"/>
        <color rgb="FF0000FF"/>
        <rFont val="Calibri"/>
        <family val="2"/>
        <scheme val="minor"/>
      </rPr>
      <t>2025 Actual:  will go over budget due to Council approved Drying Rack purchase $553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</si>
</sst>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b/>
      <sz val="18"/>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86">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174" fontId="14" fillId="0" borderId="0" xfId="1" applyNumberFormat="1" applyFont="1" applyBorder="1"/>
    <xf numFmtId="0" fontId="2" fillId="0" borderId="21" xfId="0" applyFont="1" applyBorder="1"/>
    <xf numFmtId="174" fontId="7"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0" fontId="27" fillId="0" borderId="0" xfId="0" applyFont="1" applyFill="1"/>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164" fontId="2" fillId="0" borderId="0" xfId="1" applyNumberFormat="1" applyFont="1" applyFill="1" applyAlignment="1">
      <alignment horizontal="center"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24" xfId="0" applyFont="1" applyBorder="1" applyAlignment="1">
      <alignment vertical="center"/>
    </xf>
    <xf numFmtId="164" fontId="1" fillId="0" borderId="29" xfId="1"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164" fontId="13" fillId="0" borderId="0" xfId="1" applyNumberFormat="1" applyFont="1" applyAlignment="1">
      <alignment horizontal="center" vertical="center" wrapText="1"/>
    </xf>
    <xf numFmtId="43" fontId="14" fillId="0" borderId="26" xfId="3" applyFont="1" applyBorder="1" applyAlignment="1">
      <alignment vertical="center" wrapText="1"/>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164" fontId="6" fillId="0" borderId="29" xfId="1" applyNumberFormat="1" applyFont="1" applyFill="1" applyBorder="1" applyAlignment="1">
      <alignment horizontal="right" vertical="center"/>
    </xf>
    <xf numFmtId="0" fontId="45" fillId="0" borderId="23" xfId="0" applyFont="1" applyBorder="1" applyAlignment="1">
      <alignment horizontal="left" vertical="center"/>
    </xf>
    <xf numFmtId="44" fontId="14" fillId="0" borderId="21" xfId="1" applyFont="1" applyBorder="1" applyAlignment="1">
      <alignment vertical="center"/>
    </xf>
    <xf numFmtId="44" fontId="14" fillId="0" borderId="22" xfId="1" applyFont="1" applyBorder="1" applyAlignment="1">
      <alignment vertical="center"/>
    </xf>
    <xf numFmtId="5" fontId="0" fillId="0" borderId="30" xfId="0" applyNumberFormat="1" applyFill="1" applyBorder="1" applyAlignment="1">
      <alignment vertical="center"/>
    </xf>
    <xf numFmtId="164" fontId="1" fillId="3" borderId="0" xfId="1" applyNumberFormat="1" applyFont="1" applyFill="1" applyAlignment="1">
      <alignment horizontal="center" vertical="center"/>
    </xf>
    <xf numFmtId="164" fontId="13" fillId="0" borderId="33" xfId="1" applyNumberFormat="1" applyFont="1" applyFill="1" applyBorder="1" applyAlignment="1">
      <alignment horizontal="center" vertical="center"/>
    </xf>
    <xf numFmtId="164" fontId="1" fillId="0" borderId="33" xfId="1" applyNumberFormat="1" applyFont="1" applyFill="1" applyBorder="1" applyAlignment="1">
      <alignment horizontal="center" vertical="center"/>
    </xf>
    <xf numFmtId="164" fontId="1" fillId="0" borderId="33" xfId="1" applyNumberFormat="1" applyFont="1" applyBorder="1" applyAlignment="1">
      <alignment horizontal="center" vertical="center"/>
    </xf>
    <xf numFmtId="164" fontId="13" fillId="0" borderId="34" xfId="1" applyNumberFormat="1" applyFont="1" applyBorder="1" applyAlignment="1">
      <alignment horizontal="center" vertical="center"/>
    </xf>
    <xf numFmtId="164" fontId="13" fillId="0" borderId="32" xfId="1" applyNumberFormat="1" applyFont="1" applyFill="1" applyBorder="1" applyAlignment="1">
      <alignment horizontal="center" vertical="center"/>
    </xf>
    <xf numFmtId="164" fontId="1" fillId="0" borderId="32" xfId="1" applyNumberFormat="1" applyFont="1" applyFill="1" applyBorder="1" applyAlignment="1">
      <alignment horizontal="center" vertical="center"/>
    </xf>
    <xf numFmtId="164" fontId="13" fillId="0" borderId="32" xfId="1" applyNumberFormat="1" applyFont="1" applyBorder="1" applyAlignment="1">
      <alignment horizontal="center" vertical="center"/>
    </xf>
    <xf numFmtId="164" fontId="13" fillId="0" borderId="0" xfId="1" applyNumberFormat="1" applyFont="1" applyBorder="1" applyAlignment="1">
      <alignment horizontal="center" vertical="center"/>
    </xf>
    <xf numFmtId="164" fontId="13" fillId="0" borderId="33" xfId="1" applyNumberFormat="1" applyFont="1" applyBorder="1" applyAlignment="1">
      <alignment horizontal="center" vertical="center"/>
    </xf>
    <xf numFmtId="0" fontId="2" fillId="0" borderId="4"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left" vertical="center"/>
    </xf>
    <xf numFmtId="0" fontId="0" fillId="0" borderId="0" xfId="0" applyFill="1" applyBorder="1"/>
    <xf numFmtId="174" fontId="2" fillId="0" borderId="0" xfId="0" applyNumberFormat="1" applyFont="1" applyBorder="1" applyAlignment="1">
      <alignment horizontal="right" wrapText="1"/>
    </xf>
    <xf numFmtId="174" fontId="0" fillId="0" borderId="0" xfId="0" applyNumberFormat="1" applyFont="1" applyBorder="1" applyAlignment="1">
      <alignment horizontal="right"/>
    </xf>
    <xf numFmtId="0" fontId="2" fillId="0" borderId="0" xfId="0" applyFont="1" applyBorder="1" applyAlignment="1">
      <alignment horizontal="center" wrapText="1"/>
    </xf>
    <xf numFmtId="174" fontId="7" fillId="0" borderId="0" xfId="1" applyNumberFormat="1" applyFont="1" applyBorder="1" applyAlignment="1">
      <alignment horizontal="center" wrapText="1"/>
    </xf>
    <xf numFmtId="44" fontId="2" fillId="0" borderId="0" xfId="0" applyNumberFormat="1" applyFont="1" applyFill="1" applyBorder="1" applyAlignment="1">
      <alignment vertical="center"/>
    </xf>
    <xf numFmtId="44" fontId="14" fillId="0" borderId="0" xfId="1" applyFont="1" applyFill="1" applyBorder="1" applyAlignment="1">
      <alignment vertical="center"/>
    </xf>
    <xf numFmtId="0" fontId="45" fillId="0" borderId="0" xfId="0" applyFont="1" applyBorder="1" applyAlignment="1">
      <alignment vertical="center"/>
    </xf>
    <xf numFmtId="164" fontId="14" fillId="0" borderId="30" xfId="0" applyNumberFormat="1" applyFont="1" applyFill="1" applyBorder="1" applyAlignment="1">
      <alignment vertical="center"/>
    </xf>
    <xf numFmtId="167" fontId="14" fillId="0" borderId="25" xfId="3" applyNumberFormat="1" applyFont="1" applyBorder="1" applyAlignment="1">
      <alignment vertical="center"/>
    </xf>
    <xf numFmtId="167" fontId="2" fillId="11" borderId="25" xfId="0" applyNumberFormat="1" applyFont="1" applyFill="1" applyBorder="1" applyAlignment="1">
      <alignment vertical="center"/>
    </xf>
    <xf numFmtId="167" fontId="0" fillId="0" borderId="25" xfId="0" applyNumberFormat="1" applyBorder="1" applyAlignment="1">
      <alignment vertical="center"/>
    </xf>
    <xf numFmtId="167" fontId="0" fillId="0" borderId="0" xfId="0" applyNumberFormat="1" applyBorder="1" applyAlignment="1">
      <alignment vertical="center"/>
    </xf>
    <xf numFmtId="0" fontId="45" fillId="0" borderId="6" xfId="0" applyFont="1" applyBorder="1" applyAlignment="1">
      <alignment vertical="center"/>
    </xf>
    <xf numFmtId="0" fontId="0" fillId="0" borderId="0" xfId="0" applyAlignment="1">
      <alignment vertical="top"/>
    </xf>
    <xf numFmtId="167" fontId="14" fillId="0" borderId="25" xfId="3" applyNumberFormat="1" applyFont="1" applyBorder="1" applyAlignment="1">
      <alignment vertical="top"/>
    </xf>
    <xf numFmtId="167" fontId="14" fillId="0" borderId="0" xfId="3" applyNumberFormat="1" applyFont="1" applyBorder="1" applyAlignment="1">
      <alignment vertical="top"/>
    </xf>
    <xf numFmtId="0" fontId="2" fillId="11" borderId="0" xfId="0" applyFont="1" applyFill="1" applyAlignment="1">
      <alignment vertical="top"/>
    </xf>
    <xf numFmtId="167" fontId="2" fillId="11" borderId="9" xfId="0" applyNumberFormat="1" applyFont="1" applyFill="1" applyBorder="1" applyAlignment="1">
      <alignment vertical="top"/>
    </xf>
    <xf numFmtId="167" fontId="2" fillId="11" borderId="8" xfId="0" applyNumberFormat="1" applyFont="1" applyFill="1" applyBorder="1" applyAlignment="1">
      <alignment vertical="top"/>
    </xf>
    <xf numFmtId="0" fontId="0" fillId="0" borderId="0" xfId="0" applyBorder="1" applyAlignment="1">
      <alignment vertical="top"/>
    </xf>
    <xf numFmtId="0" fontId="0" fillId="11" borderId="8" xfId="0" applyFill="1" applyBorder="1" applyAlignment="1">
      <alignment vertical="top"/>
    </xf>
    <xf numFmtId="0" fontId="0" fillId="0" borderId="5" xfId="0" applyBorder="1" applyAlignment="1">
      <alignment vertical="center"/>
    </xf>
    <xf numFmtId="0" fontId="0" fillId="0" borderId="10" xfId="0" applyBorder="1" applyAlignment="1">
      <alignment vertical="center"/>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167" fontId="6" fillId="0" borderId="25" xfId="3" applyNumberFormat="1" applyFont="1" applyBorder="1" applyAlignment="1">
      <alignment vertical="top"/>
    </xf>
    <xf numFmtId="167" fontId="7" fillId="11" borderId="9" xfId="0" applyNumberFormat="1" applyFont="1" applyFill="1" applyBorder="1" applyAlignment="1">
      <alignment vertical="top"/>
    </xf>
    <xf numFmtId="0" fontId="2" fillId="0" borderId="6" xfId="0" applyFont="1" applyBorder="1" applyAlignment="1">
      <alignment horizontal="center" vertical="center" wrapText="1"/>
    </xf>
    <xf numFmtId="167" fontId="7" fillId="0" borderId="26" xfId="3" applyNumberFormat="1" applyFont="1" applyBorder="1" applyAlignment="1">
      <alignment vertical="top"/>
    </xf>
    <xf numFmtId="167" fontId="7" fillId="11" borderId="10" xfId="0" applyNumberFormat="1" applyFont="1" applyFill="1" applyBorder="1" applyAlignment="1">
      <alignment vertical="top"/>
    </xf>
    <xf numFmtId="167" fontId="2" fillId="0" borderId="9" xfId="0" applyNumberFormat="1" applyFont="1" applyBorder="1" applyAlignment="1">
      <alignment vertical="center"/>
    </xf>
    <xf numFmtId="43" fontId="2" fillId="0" borderId="8" xfId="0" applyNumberFormat="1" applyFont="1" applyBorder="1" applyAlignment="1">
      <alignment vertical="center"/>
    </xf>
    <xf numFmtId="43" fontId="2" fillId="0" borderId="10" xfId="0" applyNumberFormat="1" applyFont="1" applyBorder="1" applyAlignment="1">
      <alignment vertical="center"/>
    </xf>
    <xf numFmtId="0" fontId="2" fillId="11" borderId="9" xfId="0" applyFont="1" applyFill="1" applyBorder="1" applyAlignment="1">
      <alignment vertical="center"/>
    </xf>
    <xf numFmtId="0" fontId="2" fillId="11" borderId="8" xfId="0" applyFont="1" applyFill="1" applyBorder="1" applyAlignment="1">
      <alignment vertical="center"/>
    </xf>
    <xf numFmtId="167" fontId="7" fillId="11" borderId="8" xfId="0" applyNumberFormat="1" applyFont="1" applyFill="1" applyBorder="1" applyAlignment="1">
      <alignment vertical="top"/>
    </xf>
    <xf numFmtId="0" fontId="2" fillId="11" borderId="10" xfId="0" applyFont="1" applyFill="1" applyBorder="1" applyAlignment="1">
      <alignment vertical="center"/>
    </xf>
    <xf numFmtId="164" fontId="13" fillId="0" borderId="32" xfId="1" applyNumberFormat="1" applyFont="1" applyBorder="1" applyAlignment="1">
      <alignment vertical="center"/>
    </xf>
    <xf numFmtId="164" fontId="2" fillId="0" borderId="32" xfId="1" applyNumberFormat="1" applyFont="1" applyFill="1" applyBorder="1" applyAlignment="1">
      <alignment vertical="center"/>
    </xf>
    <xf numFmtId="0" fontId="0" fillId="11" borderId="75" xfId="0" applyFill="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vertical="center"/>
    </xf>
    <xf numFmtId="0" fontId="0" fillId="0" borderId="23" xfId="0" applyBorder="1" applyAlignment="1">
      <alignment horizontal="center"/>
    </xf>
    <xf numFmtId="0" fontId="0" fillId="0" borderId="20" xfId="0" applyBorder="1" applyAlignment="1">
      <alignment horizontal="center"/>
    </xf>
    <xf numFmtId="0" fontId="0" fillId="0" borderId="75" xfId="0" applyBorder="1" applyAlignment="1">
      <alignment horizontal="center" vertical="center"/>
    </xf>
    <xf numFmtId="0" fontId="2" fillId="11" borderId="76" xfId="0" applyFont="1" applyFill="1" applyBorder="1" applyAlignment="1">
      <alignment vertical="center"/>
    </xf>
    <xf numFmtId="174" fontId="12" fillId="11" borderId="76" xfId="1" applyNumberFormat="1" applyFont="1" applyFill="1" applyBorder="1" applyAlignment="1">
      <alignment vertical="center"/>
    </xf>
    <xf numFmtId="174" fontId="2" fillId="11" borderId="76" xfId="0" applyNumberFormat="1" applyFont="1" applyFill="1" applyBorder="1" applyAlignment="1">
      <alignment vertical="center"/>
    </xf>
    <xf numFmtId="0" fontId="2" fillId="11" borderId="77" xfId="0" applyFont="1" applyFill="1" applyBorder="1" applyAlignment="1">
      <alignment vertical="center"/>
    </xf>
    <xf numFmtId="0" fontId="2" fillId="0" borderId="0" xfId="0" applyFont="1" applyBorder="1" applyAlignment="1">
      <alignment horizontal="left" vertical="center"/>
    </xf>
    <xf numFmtId="0" fontId="7" fillId="11" borderId="75" xfId="0" applyFont="1" applyFill="1" applyBorder="1" applyAlignment="1">
      <alignment horizontal="center" vertical="center"/>
    </xf>
    <xf numFmtId="0" fontId="7" fillId="11" borderId="76" xfId="0" applyFont="1" applyFill="1" applyBorder="1" applyAlignment="1">
      <alignment vertical="center"/>
    </xf>
    <xf numFmtId="174" fontId="7" fillId="11" borderId="76" xfId="0" applyNumberFormat="1" applyFont="1" applyFill="1" applyBorder="1" applyAlignment="1">
      <alignment vertical="center"/>
    </xf>
    <xf numFmtId="0" fontId="7" fillId="11" borderId="77" xfId="0" applyFont="1" applyFill="1" applyBorder="1" applyAlignment="1">
      <alignment vertical="center"/>
    </xf>
    <xf numFmtId="164" fontId="12" fillId="0" borderId="9"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0" fontId="0" fillId="0" borderId="0" xfId="0" applyBorder="1" applyAlignment="1">
      <alignment horizontal="left"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0" fillId="0" borderId="29" xfId="0" applyFill="1" applyBorder="1" applyAlignment="1">
      <alignment horizontal="left" vertical="center" wrapText="1"/>
    </xf>
    <xf numFmtId="174" fontId="12" fillId="11" borderId="76" xfId="1" applyNumberFormat="1" applyFont="1" applyFill="1" applyBorder="1" applyAlignment="1">
      <alignment horizontal="right" vertical="center"/>
    </xf>
    <xf numFmtId="0" fontId="2" fillId="0" borderId="76" xfId="0" applyFont="1" applyBorder="1" applyAlignment="1">
      <alignment vertical="center"/>
    </xf>
    <xf numFmtId="174" fontId="12" fillId="0" borderId="76" xfId="1" applyNumberFormat="1" applyFont="1" applyBorder="1" applyAlignment="1">
      <alignment vertical="center"/>
    </xf>
    <xf numFmtId="44" fontId="14" fillId="0" borderId="24" xfId="0" applyNumberFormat="1" applyFont="1" applyBorder="1" applyAlignment="1">
      <alignment vertical="center"/>
    </xf>
    <xf numFmtId="44" fontId="2" fillId="11" borderId="2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horizontal="left" vertical="top"/>
    </xf>
    <xf numFmtId="0" fontId="0" fillId="0" borderId="0" xfId="0" applyAlignment="1">
      <alignment horizontal="center" vertical="top"/>
    </xf>
    <xf numFmtId="0" fontId="0" fillId="0" borderId="17" xfId="0" applyBorder="1" applyAlignment="1">
      <alignment horizontal="center" vertical="top"/>
    </xf>
    <xf numFmtId="0" fontId="0" fillId="0" borderId="19" xfId="0" applyBorder="1" applyAlignment="1">
      <alignment vertical="top"/>
    </xf>
    <xf numFmtId="0" fontId="0" fillId="0" borderId="23" xfId="0" applyBorder="1" applyAlignment="1">
      <alignment horizontal="center" vertical="top"/>
    </xf>
    <xf numFmtId="0" fontId="0" fillId="0" borderId="24" xfId="0" applyBorder="1" applyAlignment="1">
      <alignment vertical="top"/>
    </xf>
    <xf numFmtId="0" fontId="0" fillId="0" borderId="20" xfId="0" applyBorder="1" applyAlignment="1">
      <alignment horizontal="center" vertical="top"/>
    </xf>
    <xf numFmtId="0" fontId="0" fillId="0" borderId="22" xfId="0" applyBorder="1" applyAlignment="1">
      <alignment vertical="top"/>
    </xf>
    <xf numFmtId="0" fontId="0" fillId="0" borderId="125" xfId="0" applyBorder="1" applyAlignment="1">
      <alignment horizontal="center" vertical="top"/>
    </xf>
    <xf numFmtId="0" fontId="0" fillId="0" borderId="126" xfId="0" applyBorder="1" applyAlignment="1">
      <alignment vertical="top"/>
    </xf>
    <xf numFmtId="0" fontId="0" fillId="0" borderId="127" xfId="0" applyBorder="1" applyAlignment="1">
      <alignment horizontal="center" vertical="top"/>
    </xf>
    <xf numFmtId="0" fontId="0" fillId="0" borderId="128" xfId="0" applyBorder="1" applyAlignment="1">
      <alignment vertical="top"/>
    </xf>
    <xf numFmtId="0" fontId="0" fillId="0" borderId="128" xfId="0" applyBorder="1" applyAlignment="1">
      <alignment vertical="top" wrapText="1"/>
    </xf>
    <xf numFmtId="0" fontId="0" fillId="0" borderId="129" xfId="0" applyBorder="1" applyAlignment="1">
      <alignment horizontal="center" vertical="top"/>
    </xf>
    <xf numFmtId="0" fontId="0" fillId="0" borderId="130" xfId="0" applyBorder="1" applyAlignment="1">
      <alignment vertical="top"/>
    </xf>
    <xf numFmtId="0" fontId="0" fillId="0" borderId="131" xfId="0" applyBorder="1" applyAlignment="1">
      <alignment horizontal="center" vertical="top"/>
    </xf>
    <xf numFmtId="0" fontId="0" fillId="0" borderId="132" xfId="0" applyBorder="1" applyAlignment="1">
      <alignment vertical="top"/>
    </xf>
    <xf numFmtId="0" fontId="45" fillId="0" borderId="0" xfId="0" applyFont="1" applyFill="1" applyBorder="1" applyAlignment="1">
      <alignment horizontal="left" vertical="center"/>
    </xf>
    <xf numFmtId="0" fontId="2" fillId="0" borderId="29" xfId="0" applyFont="1" applyFill="1" applyBorder="1" applyAlignment="1">
      <alignment horizontal="left" vertical="center"/>
    </xf>
    <xf numFmtId="0" fontId="2" fillId="0" borderId="31" xfId="0" applyFont="1" applyFill="1" applyBorder="1" applyAlignment="1">
      <alignment vertical="center"/>
    </xf>
    <xf numFmtId="5" fontId="2" fillId="11" borderId="133" xfId="0" applyNumberFormat="1" applyFont="1" applyFill="1" applyBorder="1" applyAlignment="1">
      <alignment vertical="center"/>
    </xf>
    <xf numFmtId="5" fontId="2" fillId="12" borderId="134" xfId="0" applyNumberFormat="1" applyFont="1" applyFill="1" applyBorder="1" applyAlignment="1">
      <alignment vertical="center"/>
    </xf>
    <xf numFmtId="5" fontId="2" fillId="0" borderId="77" xfId="0" applyNumberFormat="1" applyFont="1" applyFill="1" applyBorder="1" applyAlignment="1">
      <alignment vertical="center"/>
    </xf>
    <xf numFmtId="5" fontId="2" fillId="11" borderId="135" xfId="0" applyNumberFormat="1" applyFont="1" applyFill="1" applyBorder="1" applyAlignment="1">
      <alignment vertical="center"/>
    </xf>
    <xf numFmtId="0" fontId="2" fillId="0" borderId="0" xfId="0" applyFont="1" applyBorder="1" applyAlignment="1">
      <alignment vertical="center" wrapText="1"/>
    </xf>
    <xf numFmtId="5" fontId="2" fillId="0" borderId="134" xfId="0" applyNumberFormat="1" applyFont="1" applyFill="1" applyBorder="1" applyAlignment="1">
      <alignment vertical="center"/>
    </xf>
    <xf numFmtId="6" fontId="6" fillId="0" borderId="33" xfId="2" applyNumberFormat="1" applyFont="1" applyBorder="1" applyAlignment="1">
      <alignment horizontal="left" vertical="center"/>
    </xf>
    <xf numFmtId="0" fontId="6" fillId="0" borderId="33" xfId="2" applyNumberFormat="1" applyFont="1" applyBorder="1" applyAlignment="1">
      <alignment horizontal="left" vertical="center" wrapText="1"/>
    </xf>
    <xf numFmtId="164" fontId="0" fillId="0" borderId="0" xfId="1" applyNumberFormat="1" applyFont="1" applyFill="1" applyBorder="1" applyAlignment="1">
      <alignment horizontal="left" vertical="center"/>
    </xf>
    <xf numFmtId="0" fontId="6" fillId="0" borderId="33" xfId="2" applyNumberFormat="1" applyFont="1" applyFill="1" applyBorder="1" applyAlignment="1">
      <alignment horizontal="left" vertical="center" wrapText="1"/>
    </xf>
    <xf numFmtId="2" fontId="0" fillId="0" borderId="0" xfId="1" applyNumberFormat="1" applyFont="1" applyAlignment="1">
      <alignment horizontal="left" vertical="center"/>
    </xf>
    <xf numFmtId="167" fontId="12" fillId="0" borderId="56" xfId="3" applyNumberFormat="1" applyFont="1" applyBorder="1"/>
    <xf numFmtId="0" fontId="2" fillId="0" borderId="75" xfId="0" applyFont="1" applyFill="1" applyBorder="1" applyAlignment="1">
      <alignment horizontal="center" vertical="center" wrapText="1"/>
    </xf>
    <xf numFmtId="0" fontId="2" fillId="0" borderId="77" xfId="0" applyFont="1" applyFill="1" applyBorder="1" applyAlignment="1">
      <alignment horizontal="center" vertical="center" wrapText="1"/>
    </xf>
    <xf numFmtId="167" fontId="0" fillId="0" borderId="17" xfId="0" applyNumberFormat="1" applyBorder="1"/>
    <xf numFmtId="167" fontId="0" fillId="0" borderId="19" xfId="0" applyNumberFormat="1" applyBorder="1"/>
    <xf numFmtId="0" fontId="0" fillId="0" borderId="23" xfId="0" applyBorder="1"/>
    <xf numFmtId="167" fontId="0" fillId="0" borderId="23" xfId="0" applyNumberFormat="1" applyBorder="1"/>
    <xf numFmtId="167" fontId="0" fillId="0" borderId="24" xfId="0" applyNumberFormat="1" applyBorder="1"/>
    <xf numFmtId="167" fontId="36" fillId="0" borderId="23" xfId="0" applyNumberFormat="1" applyFont="1" applyBorder="1"/>
    <xf numFmtId="167" fontId="36" fillId="0" borderId="24" xfId="0" applyNumberFormat="1" applyFont="1" applyBorder="1"/>
    <xf numFmtId="167" fontId="2" fillId="0" borderId="23" xfId="3" applyNumberFormat="1" applyFont="1" applyBorder="1"/>
    <xf numFmtId="167" fontId="2" fillId="0" borderId="24" xfId="3" applyNumberFormat="1" applyFont="1" applyBorder="1"/>
    <xf numFmtId="164" fontId="2" fillId="0" borderId="23" xfId="1" applyNumberFormat="1" applyFont="1" applyBorder="1" applyAlignment="1">
      <alignment vertical="center" wrapText="1"/>
    </xf>
    <xf numFmtId="164" fontId="2" fillId="0" borderId="24" xfId="1" applyNumberFormat="1" applyFont="1" applyBorder="1" applyAlignment="1">
      <alignment vertical="center" wrapText="1"/>
    </xf>
    <xf numFmtId="164" fontId="11" fillId="0" borderId="23" xfId="1" applyNumberFormat="1" applyFont="1" applyBorder="1" applyAlignment="1">
      <alignment vertical="center"/>
    </xf>
    <xf numFmtId="164" fontId="11" fillId="0" borderId="24" xfId="1" applyNumberFormat="1" applyFont="1" applyBorder="1" applyAlignment="1">
      <alignment vertical="center"/>
    </xf>
    <xf numFmtId="164" fontId="44" fillId="0" borderId="23" xfId="1" applyNumberFormat="1" applyFont="1" applyBorder="1" applyAlignment="1">
      <alignment vertical="center"/>
    </xf>
    <xf numFmtId="164" fontId="44" fillId="0" borderId="24" xfId="1" applyNumberFormat="1" applyFont="1" applyBorder="1" applyAlignment="1">
      <alignment vertical="center"/>
    </xf>
    <xf numFmtId="167" fontId="6" fillId="0" borderId="20" xfId="0" applyNumberFormat="1" applyFont="1" applyBorder="1"/>
    <xf numFmtId="167" fontId="6" fillId="0" borderId="22" xfId="0" applyNumberFormat="1" applyFont="1" applyBorder="1"/>
    <xf numFmtId="0" fontId="22" fillId="0" borderId="0" xfId="0" applyFont="1" applyAlignment="1">
      <alignment horizontal="center" vertical="center" wrapText="1"/>
    </xf>
    <xf numFmtId="0" fontId="2" fillId="0" borderId="4" xfId="0" applyFont="1" applyBorder="1" applyAlignment="1">
      <alignment horizontal="center" vertical="center" wrapText="1"/>
    </xf>
    <xf numFmtId="0" fontId="0" fillId="0" borderId="0" xfId="0" applyBorder="1" applyAlignment="1">
      <alignment horizontal="left"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1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5" fontId="0" fillId="0" borderId="0" xfId="0" applyNumberFormat="1" applyFont="1" applyFill="1" applyBorder="1" applyAlignment="1">
      <alignment horizontal="right" vertical="center"/>
    </xf>
    <xf numFmtId="164" fontId="1" fillId="0" borderId="0" xfId="1" applyNumberFormat="1" applyFont="1" applyFill="1" applyBorder="1" applyAlignment="1">
      <alignment horizontal="right" vertical="center"/>
    </xf>
    <xf numFmtId="10" fontId="6" fillId="0" borderId="0" xfId="2" applyNumberFormat="1" applyFont="1" applyFill="1" applyBorder="1" applyAlignment="1">
      <alignment horizontal="right" vertical="center"/>
    </xf>
    <xf numFmtId="9" fontId="6" fillId="0" borderId="0" xfId="0" applyNumberFormat="1" applyFont="1" applyFill="1" applyBorder="1" applyAlignment="1">
      <alignment vertical="center"/>
    </xf>
    <xf numFmtId="174" fontId="6" fillId="0" borderId="0" xfId="0" applyNumberFormat="1" applyFont="1" applyFill="1" applyBorder="1" applyAlignment="1">
      <alignment vertical="center"/>
    </xf>
    <xf numFmtId="0" fontId="14" fillId="0" borderId="0" xfId="0" applyFont="1" applyFill="1" applyBorder="1" applyAlignment="1">
      <alignment vertical="center"/>
    </xf>
    <xf numFmtId="5" fontId="7" fillId="0" borderId="0" xfId="0" applyNumberFormat="1" applyFont="1" applyFill="1" applyBorder="1" applyAlignment="1">
      <alignment vertical="center"/>
    </xf>
    <xf numFmtId="0" fontId="19" fillId="0" borderId="0" xfId="0" applyFont="1" applyAlignment="1">
      <alignment vertical="center"/>
    </xf>
    <xf numFmtId="44" fontId="0" fillId="0" borderId="0" xfId="0" applyNumberFormat="1" applyBorder="1" applyAlignment="1">
      <alignment vertical="center"/>
    </xf>
    <xf numFmtId="164" fontId="2" fillId="0" borderId="0" xfId="0" applyNumberFormat="1" applyFont="1" applyFill="1" applyBorder="1" applyAlignment="1">
      <alignment vertical="center"/>
    </xf>
    <xf numFmtId="44" fontId="0" fillId="0" borderId="30" xfId="0" applyNumberFormat="1" applyFill="1" applyBorder="1" applyAlignment="1">
      <alignment horizontal="right" vertical="center"/>
    </xf>
    <xf numFmtId="0" fontId="0" fillId="0" borderId="0" xfId="0" applyFill="1" applyBorder="1" applyAlignment="1">
      <alignment horizontal="left" vertical="center"/>
    </xf>
    <xf numFmtId="0" fontId="45" fillId="0" borderId="18" xfId="0" applyFont="1" applyFill="1" applyBorder="1" applyAlignment="1">
      <alignment horizontal="left" vertical="center"/>
    </xf>
    <xf numFmtId="44" fontId="14" fillId="0" borderId="18" xfId="1" applyFont="1" applyFill="1" applyBorder="1" applyAlignment="1">
      <alignment vertical="center"/>
    </xf>
    <xf numFmtId="164" fontId="6" fillId="0" borderId="30" xfId="0" applyNumberFormat="1" applyFont="1" applyFill="1" applyBorder="1" applyAlignment="1">
      <alignment vertical="center"/>
    </xf>
    <xf numFmtId="164" fontId="0" fillId="0" borderId="0" xfId="1" applyNumberFormat="1" applyFont="1" applyFill="1" applyAlignment="1">
      <alignment horizontal="left" vertical="center" wrapText="1"/>
    </xf>
    <xf numFmtId="164" fontId="0" fillId="11" borderId="0" xfId="1" applyNumberFormat="1" applyFont="1" applyFill="1" applyAlignment="1">
      <alignment horizontal="left" vertical="center" wrapText="1"/>
    </xf>
    <xf numFmtId="5" fontId="7" fillId="11" borderId="57" xfId="1" applyNumberFormat="1" applyFont="1" applyFill="1" applyBorder="1" applyAlignment="1">
      <alignment vertical="center"/>
    </xf>
    <xf numFmtId="0" fontId="11" fillId="0" borderId="55" xfId="0" applyFont="1" applyBorder="1" applyAlignment="1">
      <alignment horizontal="right" vertical="center"/>
    </xf>
    <xf numFmtId="5" fontId="7" fillId="12" borderId="57" xfId="1" applyNumberFormat="1" applyFont="1" applyFill="1" applyBorder="1" applyAlignment="1">
      <alignment vertical="center"/>
    </xf>
    <xf numFmtId="5" fontId="7" fillId="12" borderId="0" xfId="1" applyNumberFormat="1" applyFont="1" applyFill="1" applyBorder="1" applyAlignment="1">
      <alignment vertical="center"/>
    </xf>
    <xf numFmtId="164" fontId="0" fillId="11" borderId="0" xfId="1" applyNumberFormat="1" applyFont="1" applyFill="1" applyBorder="1" applyAlignment="1">
      <alignment horizontal="left" vertical="center" wrapText="1"/>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0" fontId="12" fillId="0" borderId="34" xfId="2" applyNumberFormat="1" applyFont="1" applyBorder="1" applyAlignment="1">
      <alignment horizontal="left" vertical="center"/>
    </xf>
    <xf numFmtId="164" fontId="10" fillId="0" borderId="33" xfId="1" applyNumberFormat="1" applyFont="1" applyBorder="1" applyAlignment="1">
      <alignment vertical="center"/>
    </xf>
    <xf numFmtId="164" fontId="10" fillId="0" borderId="32" xfId="1" applyNumberFormat="1" applyFont="1" applyBorder="1" applyAlignment="1">
      <alignment vertical="center"/>
    </xf>
    <xf numFmtId="164" fontId="10" fillId="0" borderId="32" xfId="1" applyNumberFormat="1" applyFont="1" applyFill="1" applyBorder="1" applyAlignment="1">
      <alignment vertical="center"/>
    </xf>
    <xf numFmtId="0" fontId="10" fillId="0" borderId="33" xfId="2" applyNumberFormat="1" applyFont="1" applyBorder="1" applyAlignment="1">
      <alignment horizontal="left" vertical="center"/>
    </xf>
    <xf numFmtId="169" fontId="14" fillId="0" borderId="32" xfId="1" applyNumberFormat="1" applyFont="1" applyFill="1" applyBorder="1" applyAlignment="1">
      <alignment horizontal="center" vertical="center"/>
    </xf>
    <xf numFmtId="7" fontId="14" fillId="0" borderId="32" xfId="1" applyNumberFormat="1" applyFont="1" applyBorder="1" applyAlignment="1">
      <alignment horizontal="center" vertical="center"/>
    </xf>
    <xf numFmtId="37" fontId="14" fillId="0" borderId="32" xfId="1" applyNumberFormat="1" applyFont="1" applyFill="1" applyBorder="1" applyAlignment="1">
      <alignment horizontal="center" vertical="center"/>
    </xf>
    <xf numFmtId="165" fontId="6" fillId="0" borderId="32" xfId="2" applyNumberFormat="1" applyFont="1" applyBorder="1" applyAlignment="1">
      <alignment horizontal="center" vertical="center"/>
    </xf>
    <xf numFmtId="0" fontId="0" fillId="0" borderId="33" xfId="2" applyNumberFormat="1" applyFont="1" applyBorder="1" applyAlignment="1">
      <alignment horizontal="left" vertical="center" wrapText="1"/>
    </xf>
    <xf numFmtId="164" fontId="0" fillId="11" borderId="18" xfId="1" applyNumberFormat="1" applyFont="1" applyFill="1" applyBorder="1" applyAlignment="1">
      <alignment vertical="center" wrapText="1"/>
    </xf>
    <xf numFmtId="164" fontId="0" fillId="11" borderId="0" xfId="1" applyNumberFormat="1" applyFont="1" applyFill="1" applyBorder="1" applyAlignment="1">
      <alignment vertical="center" wrapText="1"/>
    </xf>
    <xf numFmtId="164" fontId="0" fillId="0" borderId="0" xfId="1" applyNumberFormat="1" applyFont="1" applyFill="1" applyBorder="1" applyAlignment="1">
      <alignment vertical="center" wrapText="1"/>
    </xf>
    <xf numFmtId="164" fontId="0" fillId="0" borderId="0" xfId="1" applyNumberFormat="1" applyFont="1" applyFill="1" applyAlignment="1">
      <alignment vertical="center" wrapText="1"/>
    </xf>
    <xf numFmtId="164" fontId="0" fillId="11" borderId="0" xfId="1" applyNumberFormat="1" applyFont="1" applyFill="1" applyAlignment="1">
      <alignment vertical="center" wrapText="1"/>
    </xf>
    <xf numFmtId="164" fontId="0" fillId="11" borderId="21" xfId="1" applyNumberFormat="1" applyFont="1" applyFill="1" applyBorder="1" applyAlignment="1">
      <alignment vertical="center" wrapText="1"/>
    </xf>
    <xf numFmtId="164" fontId="0" fillId="0" borderId="18" xfId="1" applyNumberFormat="1" applyFont="1" applyBorder="1" applyAlignment="1">
      <alignment vertical="center" wrapText="1"/>
    </xf>
    <xf numFmtId="164" fontId="0" fillId="0" borderId="0" xfId="1" applyNumberFormat="1" applyFont="1" applyBorder="1" applyAlignment="1">
      <alignment vertical="center" wrapText="1"/>
    </xf>
    <xf numFmtId="164" fontId="2" fillId="11" borderId="76" xfId="1" applyNumberFormat="1" applyFont="1" applyFill="1" applyBorder="1" applyAlignment="1">
      <alignment vertical="center"/>
    </xf>
    <xf numFmtId="164" fontId="14" fillId="11" borderId="0" xfId="1" applyNumberFormat="1" applyFont="1" applyFill="1" applyBorder="1" applyAlignment="1">
      <alignment horizontal="left" vertical="center"/>
    </xf>
    <xf numFmtId="164" fontId="14" fillId="0" borderId="0" xfId="1" applyNumberFormat="1" applyFont="1" applyBorder="1" applyAlignment="1">
      <alignment vertical="center" wrapText="1"/>
    </xf>
    <xf numFmtId="164" fontId="14" fillId="0" borderId="0" xfId="1" applyNumberFormat="1" applyFont="1" applyFill="1" applyBorder="1" applyAlignment="1">
      <alignment horizontal="left" vertical="center"/>
    </xf>
    <xf numFmtId="164" fontId="2" fillId="0" borderId="76" xfId="1" applyNumberFormat="1" applyFont="1" applyBorder="1" applyAlignment="1">
      <alignment vertical="center"/>
    </xf>
    <xf numFmtId="0" fontId="12" fillId="0" borderId="53" xfId="0" applyFont="1" applyBorder="1" applyAlignment="1">
      <alignment horizontal="center" vertical="center" wrapText="1"/>
    </xf>
    <xf numFmtId="0" fontId="12" fillId="0" borderId="33" xfId="2" applyNumberFormat="1" applyFont="1" applyBorder="1" applyAlignment="1">
      <alignment horizontal="left" vertical="center" wrapText="1"/>
    </xf>
    <xf numFmtId="171" fontId="0" fillId="0" borderId="0" xfId="0" applyNumberFormat="1" applyBorder="1" applyAlignment="1">
      <alignment vertical="center"/>
    </xf>
    <xf numFmtId="5" fontId="14" fillId="0" borderId="0" xfId="3" applyNumberFormat="1" applyFont="1" applyBorder="1" applyAlignment="1">
      <alignment vertical="center"/>
    </xf>
    <xf numFmtId="166" fontId="14" fillId="0" borderId="0" xfId="3" applyNumberFormat="1" applyFont="1" applyBorder="1" applyAlignment="1">
      <alignment vertical="center"/>
    </xf>
    <xf numFmtId="0" fontId="12" fillId="0" borderId="33" xfId="3" applyNumberFormat="1" applyFont="1" applyBorder="1" applyAlignment="1">
      <alignment horizontal="left" vertical="center"/>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0" fontId="19" fillId="0" borderId="0" xfId="0" applyFont="1" applyAlignment="1">
      <alignment horizontal="center"/>
    </xf>
    <xf numFmtId="164" fontId="0" fillId="11" borderId="0" xfId="1" applyNumberFormat="1" applyFont="1" applyFill="1" applyBorder="1" applyAlignment="1">
      <alignment horizontal="left" vertical="center" wrapText="1"/>
    </xf>
    <xf numFmtId="164" fontId="0" fillId="0" borderId="0" xfId="1" applyNumberFormat="1" applyFont="1" applyFill="1" applyAlignment="1">
      <alignment horizontal="left" vertical="center" wrapText="1"/>
    </xf>
    <xf numFmtId="164" fontId="2" fillId="0" borderId="76" xfId="1" applyNumberFormat="1" applyFont="1" applyFill="1" applyBorder="1" applyAlignment="1">
      <alignment horizontal="left" vertical="center"/>
    </xf>
    <xf numFmtId="164" fontId="2" fillId="0" borderId="77" xfId="1" applyNumberFormat="1" applyFont="1" applyFill="1" applyBorder="1" applyAlignment="1">
      <alignment horizontal="left" vertical="center"/>
    </xf>
    <xf numFmtId="164" fontId="0" fillId="11" borderId="18" xfId="1" applyNumberFormat="1" applyFont="1" applyFill="1" applyBorder="1" applyAlignment="1">
      <alignment horizontal="left" vertical="center" wrapText="1"/>
    </xf>
    <xf numFmtId="164" fontId="0" fillId="0" borderId="0" xfId="1" applyNumberFormat="1" applyFont="1" applyFill="1" applyBorder="1" applyAlignment="1">
      <alignment horizontal="left" vertical="center" wrapText="1"/>
    </xf>
    <xf numFmtId="164" fontId="0" fillId="11" borderId="0" xfId="1" applyNumberFormat="1" applyFont="1" applyFill="1" applyAlignment="1">
      <alignment horizontal="left"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164" fontId="12" fillId="0" borderId="4"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2" fillId="0" borderId="26" xfId="1" applyNumberFormat="1" applyFont="1" applyBorder="1" applyAlignment="1">
      <alignment horizontal="center" vertical="center" wrapText="1"/>
    </xf>
    <xf numFmtId="0" fontId="0" fillId="11" borderId="0" xfId="1" applyNumberFormat="1" applyFont="1" applyFill="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0" fontId="0" fillId="0" borderId="34" xfId="1" applyNumberFormat="1" applyFont="1" applyBorder="1" applyAlignment="1">
      <alignment horizontal="left" vertical="center" wrapText="1"/>
    </xf>
    <xf numFmtId="164" fontId="2" fillId="9" borderId="18" xfId="1" applyNumberFormat="1" applyFont="1" applyFill="1" applyBorder="1" applyAlignment="1">
      <alignment horizontal="center" vertical="center" wrapText="1"/>
    </xf>
    <xf numFmtId="164" fontId="0" fillId="11" borderId="0" xfId="1" applyNumberFormat="1" applyFont="1" applyFill="1" applyAlignment="1">
      <alignment horizontal="left" vertical="center"/>
    </xf>
    <xf numFmtId="164" fontId="0" fillId="11" borderId="24" xfId="1" applyNumberFormat="1" applyFont="1" applyFill="1" applyBorder="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164" fontId="0" fillId="0" borderId="21" xfId="1" applyNumberFormat="1" applyFont="1" applyFill="1" applyBorder="1" applyAlignment="1">
      <alignment horizontal="left" vertical="center"/>
    </xf>
    <xf numFmtId="164" fontId="0" fillId="11" borderId="21" xfId="1" applyNumberFormat="1" applyFont="1" applyFill="1" applyBorder="1" applyAlignment="1">
      <alignment horizontal="left" vertical="center" wrapText="1"/>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0" fontId="20" fillId="0" borderId="19" xfId="0" applyFont="1" applyBorder="1" applyAlignment="1">
      <alignment horizontal="left" vertical="top" wrapText="1"/>
    </xf>
    <xf numFmtId="0" fontId="20" fillId="0" borderId="24" xfId="0" applyFont="1" applyBorder="1" applyAlignment="1">
      <alignment horizontal="left" vertical="top" wrapText="1"/>
    </xf>
    <xf numFmtId="0" fontId="20" fillId="0" borderId="78" xfId="0" applyFont="1" applyBorder="1" applyAlignment="1">
      <alignment horizontal="left" vertical="top" wrapText="1"/>
    </xf>
    <xf numFmtId="0" fontId="20" fillId="0" borderId="98" xfId="0" applyFont="1" applyBorder="1" applyAlignment="1">
      <alignment horizontal="left" vertical="top" wrapText="1"/>
    </xf>
    <xf numFmtId="0" fontId="20" fillId="0" borderId="22"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3" fillId="11" borderId="18" xfId="0"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6"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0" fontId="20" fillId="0" borderId="18" xfId="0" applyFont="1" applyBorder="1" applyAlignment="1">
      <alignment horizontal="left" vertical="top" wrapText="1"/>
    </xf>
    <xf numFmtId="0" fontId="20" fillId="0" borderId="21" xfId="0" applyFont="1" applyBorder="1" applyAlignment="1">
      <alignment horizontal="left" vertical="top" wrapText="1"/>
    </xf>
    <xf numFmtId="167" fontId="23" fillId="11" borderId="18"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47"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center"/>
    </xf>
    <xf numFmtId="0" fontId="0" fillId="0" borderId="26" xfId="0" applyBorder="1" applyAlignment="1">
      <alignment horizontal="left" vertical="center"/>
    </xf>
    <xf numFmtId="0" fontId="0" fillId="0" borderId="0" xfId="0" applyBorder="1" applyAlignment="1">
      <alignment horizontal="left" vertical="center" wrapText="1"/>
    </xf>
    <xf numFmtId="0" fontId="0" fillId="0" borderId="26" xfId="0" applyBorder="1" applyAlignment="1">
      <alignment horizontal="left" vertical="center" wrapText="1"/>
    </xf>
    <xf numFmtId="0" fontId="2" fillId="0" borderId="0" xfId="0" applyFont="1" applyBorder="1" applyAlignment="1">
      <alignment horizontal="left" vertical="center"/>
    </xf>
    <xf numFmtId="174" fontId="12" fillId="0" borderId="0" xfId="1" applyNumberFormat="1" applyFont="1" applyBorder="1" applyAlignment="1">
      <alignment horizontal="right" vertical="center"/>
    </xf>
    <xf numFmtId="0" fontId="2" fillId="0" borderId="23" xfId="0" applyFont="1" applyBorder="1" applyAlignment="1">
      <alignment horizontal="center" vertical="center"/>
    </xf>
    <xf numFmtId="0" fontId="5" fillId="0" borderId="0" xfId="0" applyFont="1" applyAlignment="1">
      <alignment horizontal="center"/>
    </xf>
    <xf numFmtId="0" fontId="0" fillId="0" borderId="21" xfId="0" applyBorder="1" applyAlignment="1">
      <alignment horizontal="left"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21" fillId="0" borderId="0" xfId="0" applyFont="1" applyAlignment="1">
      <alignment horizontal="center"/>
    </xf>
    <xf numFmtId="0" fontId="23" fillId="0" borderId="0" xfId="0" applyFont="1" applyAlignment="1">
      <alignment horizontal="center"/>
    </xf>
    <xf numFmtId="0" fontId="0" fillId="0" borderId="21" xfId="0" applyBorder="1" applyAlignment="1">
      <alignment horizontal="left"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4" fillId="0" borderId="0" xfId="0" applyFont="1" applyAlignment="1">
      <alignment horizont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0" borderId="70"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11" borderId="121" xfId="0" applyFont="1" applyFill="1" applyBorder="1" applyAlignment="1">
      <alignment horizontal="left" vertical="center"/>
    </xf>
    <xf numFmtId="0" fontId="2" fillId="11" borderId="120"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19" fillId="0" borderId="0" xfId="0" applyFont="1" applyAlignment="1">
      <alignment horizontal="center"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11" borderId="119"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20" fillId="0" borderId="23" xfId="0" applyFont="1" applyBorder="1" applyAlignment="1">
      <alignment horizontal="left" vertical="center" wrapText="1"/>
    </xf>
    <xf numFmtId="0" fontId="20" fillId="0" borderId="0" xfId="0" applyFont="1" applyBorder="1" applyAlignment="1">
      <alignment horizontal="left" vertical="center" wrapText="1"/>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65" fontId="38" fillId="0" borderId="0" xfId="2" applyNumberFormat="1" applyFont="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31"/>
          <c:h val="0.79804560260589053"/>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zero"/>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29</xdr:row>
      <xdr:rowOff>6350</xdr:rowOff>
    </xdr:from>
    <xdr:to>
      <xdr:col>11</xdr:col>
      <xdr:colOff>19050</xdr:colOff>
      <xdr:row>29</xdr:row>
      <xdr:rowOff>19050</xdr:rowOff>
    </xdr:to>
    <xdr:cxnSp macro="">
      <xdr:nvCxnSpPr>
        <xdr:cNvPr id="2" name="Straight Connector 1"/>
        <xdr:cNvCxnSpPr/>
      </xdr:nvCxnSpPr>
      <xdr:spPr>
        <a:xfrm>
          <a:off x="0" y="5588000"/>
          <a:ext cx="111569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119</v>
      </c>
      <c r="C2" s="39">
        <v>2026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49"/>
  <sheetViews>
    <sheetView showGridLines="0" topLeftCell="A6" workbookViewId="0">
      <selection activeCell="A9" sqref="A9"/>
    </sheetView>
  </sheetViews>
  <sheetFormatPr defaultRowHeight="14.5" x14ac:dyDescent="0.35"/>
  <cols>
    <col min="1" max="1" width="49.36328125" style="109" customWidth="1"/>
    <col min="2" max="2" width="13.90625" style="109" hidden="1" customWidth="1"/>
    <col min="3" max="3" width="14" style="109" hidden="1" customWidth="1"/>
    <col min="4" max="5" width="14" style="173" hidden="1" customWidth="1"/>
    <col min="6" max="6" width="14" style="173" customWidth="1"/>
    <col min="7" max="7" width="14" style="173" hidden="1" customWidth="1"/>
    <col min="8" max="8" width="14" style="173" customWidth="1"/>
    <col min="9" max="9" width="3.1796875" style="173" customWidth="1"/>
    <col min="10" max="10" width="9.453125" style="109" bestFit="1" customWidth="1"/>
    <col min="11" max="11" width="8.7265625" style="109"/>
    <col min="12" max="12" width="11.08984375" style="109" bestFit="1" customWidth="1"/>
    <col min="13" max="13" width="8.7265625" style="109" customWidth="1"/>
    <col min="14" max="14" width="10.90625" style="109" customWidth="1"/>
    <col min="15" max="15" width="11.6328125" style="109" customWidth="1"/>
    <col min="16" max="16" width="5.08984375" style="109" customWidth="1"/>
    <col min="17" max="17" width="9.453125" style="109" bestFit="1" customWidth="1"/>
    <col min="18" max="18" width="8.7265625" style="109"/>
    <col min="19" max="19" width="11.08984375" style="109" bestFit="1" customWidth="1"/>
    <col min="20" max="20" width="8.7265625" style="109" customWidth="1"/>
    <col min="21" max="21" width="10.90625" style="109" customWidth="1"/>
    <col min="22" max="22" width="11.6328125" style="109" customWidth="1"/>
    <col min="23" max="23" width="8.7265625" style="109"/>
    <col min="24" max="24" width="10.08984375" style="109" bestFit="1" customWidth="1"/>
    <col min="25" max="16384" width="8.7265625" style="109"/>
  </cols>
  <sheetData>
    <row r="1" spans="1:22" ht="21" x14ac:dyDescent="0.35">
      <c r="A1" s="1376" t="s">
        <v>571</v>
      </c>
      <c r="B1" s="1376"/>
      <c r="C1" s="1376"/>
      <c r="D1" s="1376"/>
      <c r="E1" s="1376"/>
      <c r="F1" s="1376"/>
      <c r="G1" s="1376"/>
      <c r="H1" s="1376"/>
      <c r="I1" s="1376"/>
      <c r="J1" s="1376"/>
      <c r="K1" s="1376"/>
      <c r="L1" s="1376"/>
      <c r="M1" s="1376"/>
      <c r="N1" s="1376"/>
      <c r="O1" s="1376"/>
      <c r="P1" s="1376"/>
      <c r="Q1" s="1376"/>
      <c r="R1" s="1376"/>
      <c r="S1" s="1376"/>
      <c r="T1" s="1376"/>
      <c r="U1" s="1376"/>
      <c r="V1" s="1376"/>
    </row>
    <row r="2" spans="1:22" x14ac:dyDescent="0.35">
      <c r="A2" s="109" t="s">
        <v>572</v>
      </c>
      <c r="B2" s="733"/>
      <c r="C2" s="864"/>
      <c r="D2" s="1002"/>
      <c r="E2" s="1002"/>
      <c r="F2" s="1173"/>
      <c r="G2" s="1173"/>
      <c r="H2" s="1173"/>
      <c r="I2" s="1173"/>
    </row>
    <row r="3" spans="1:22" ht="43.5" customHeight="1" thickBot="1" x14ac:dyDescent="0.4">
      <c r="A3" s="752"/>
      <c r="B3" s="997" t="s">
        <v>570</v>
      </c>
      <c r="C3" s="726" t="s">
        <v>673</v>
      </c>
      <c r="D3" s="973" t="s">
        <v>560</v>
      </c>
      <c r="E3" s="973" t="s">
        <v>640</v>
      </c>
      <c r="F3" s="973" t="s">
        <v>686</v>
      </c>
      <c r="G3" s="973" t="s">
        <v>687</v>
      </c>
      <c r="H3" s="973" t="s">
        <v>827</v>
      </c>
      <c r="I3" s="1173"/>
      <c r="J3" s="1158"/>
      <c r="Q3" s="1158"/>
    </row>
    <row r="4" spans="1:22" ht="15" customHeight="1" thickBot="1" x14ac:dyDescent="0.4">
      <c r="A4" s="752" t="s">
        <v>581</v>
      </c>
      <c r="B4" s="998">
        <v>9</v>
      </c>
      <c r="C4" s="1000">
        <v>10</v>
      </c>
      <c r="D4" s="1003">
        <v>10</v>
      </c>
      <c r="E4" s="1003">
        <v>10</v>
      </c>
      <c r="F4" s="1003">
        <v>11</v>
      </c>
      <c r="G4" s="1003">
        <v>11</v>
      </c>
      <c r="H4" s="1003">
        <v>12</v>
      </c>
      <c r="I4" s="1367"/>
      <c r="J4" s="1521" t="s">
        <v>657</v>
      </c>
      <c r="K4" s="1522"/>
      <c r="L4" s="1522"/>
      <c r="M4" s="1522"/>
      <c r="N4" s="1522"/>
      <c r="O4" s="1523"/>
      <c r="Q4" s="1521" t="s">
        <v>657</v>
      </c>
      <c r="R4" s="1522"/>
      <c r="S4" s="1522"/>
      <c r="T4" s="1522"/>
      <c r="U4" s="1522"/>
      <c r="V4" s="1523"/>
    </row>
    <row r="5" spans="1:22" ht="26" customHeight="1" x14ac:dyDescent="0.35">
      <c r="A5" s="752"/>
      <c r="B5" s="777"/>
      <c r="C5" s="1001" t="s">
        <v>585</v>
      </c>
      <c r="D5" s="1004"/>
      <c r="E5" s="1004"/>
      <c r="F5" s="1176" t="s">
        <v>725</v>
      </c>
      <c r="G5" s="1004"/>
      <c r="H5" s="1176" t="s">
        <v>725</v>
      </c>
      <c r="I5" s="1368"/>
      <c r="J5" s="1145">
        <v>2027</v>
      </c>
      <c r="K5" s="290"/>
      <c r="L5" s="290"/>
      <c r="M5" s="1146"/>
      <c r="N5" s="1298" t="s">
        <v>651</v>
      </c>
      <c r="O5" s="1147"/>
      <c r="Q5" s="1145">
        <v>2025</v>
      </c>
      <c r="R5" s="290"/>
      <c r="S5" s="290"/>
      <c r="T5" s="1146"/>
      <c r="U5" s="1298" t="s">
        <v>651</v>
      </c>
      <c r="V5" s="1147"/>
    </row>
    <row r="6" spans="1:22" ht="15" customHeight="1" x14ac:dyDescent="0.35">
      <c r="A6" s="376" t="s">
        <v>35</v>
      </c>
      <c r="B6" s="347">
        <f t="shared" ref="B6:G6" si="0">+B8-B7</f>
        <v>46565</v>
      </c>
      <c r="C6" s="740">
        <f t="shared" si="0"/>
        <v>52110</v>
      </c>
      <c r="D6" s="370">
        <f t="shared" si="0"/>
        <v>50055</v>
      </c>
      <c r="E6" s="370">
        <f t="shared" si="0"/>
        <v>52110</v>
      </c>
      <c r="F6" s="370">
        <f t="shared" si="0"/>
        <v>52164</v>
      </c>
      <c r="G6" s="143">
        <f t="shared" si="0"/>
        <v>52164</v>
      </c>
      <c r="H6" s="370">
        <f t="shared" ref="H6" si="1">+H8-H7</f>
        <v>79166</v>
      </c>
      <c r="I6" s="126"/>
      <c r="J6" s="256" t="s">
        <v>828</v>
      </c>
      <c r="K6" s="257"/>
      <c r="L6" s="257"/>
      <c r="M6" s="1148" t="s">
        <v>649</v>
      </c>
      <c r="N6" s="1299"/>
      <c r="O6" s="1149" t="s">
        <v>652</v>
      </c>
      <c r="Q6" s="256" t="s">
        <v>804</v>
      </c>
      <c r="R6" s="257"/>
      <c r="S6" s="257"/>
      <c r="T6" s="1148" t="s">
        <v>649</v>
      </c>
      <c r="U6" s="1299"/>
      <c r="V6" s="1149" t="s">
        <v>652</v>
      </c>
    </row>
    <row r="7" spans="1:22" ht="15" customHeight="1" thickBot="1" x14ac:dyDescent="0.4">
      <c r="A7" s="141" t="s">
        <v>124</v>
      </c>
      <c r="B7" s="114">
        <v>23255</v>
      </c>
      <c r="C7" s="508">
        <v>21200</v>
      </c>
      <c r="D7" s="148">
        <f>+B7</f>
        <v>23255</v>
      </c>
      <c r="E7" s="1156">
        <f>ROUND(+S31,0)</f>
        <v>21200</v>
      </c>
      <c r="F7" s="1225">
        <f>+S24</f>
        <v>24000</v>
      </c>
      <c r="G7" s="1156">
        <f>ROUND(+S24,0)</f>
        <v>24000</v>
      </c>
      <c r="H7" s="1379">
        <f>+L37</f>
        <v>0</v>
      </c>
      <c r="I7" s="564"/>
      <c r="J7" s="256" t="s">
        <v>656</v>
      </c>
      <c r="K7" s="257"/>
      <c r="L7" s="257"/>
      <c r="M7" s="1150">
        <v>0</v>
      </c>
      <c r="N7" s="1150">
        <v>0</v>
      </c>
      <c r="O7" s="1151">
        <f>+M7-N7</f>
        <v>0</v>
      </c>
      <c r="Q7" s="256" t="s">
        <v>656</v>
      </c>
      <c r="R7" s="257"/>
      <c r="S7" s="257"/>
      <c r="T7" s="1150">
        <v>266.77999999999997</v>
      </c>
      <c r="U7" s="1150">
        <v>161.38999999999999</v>
      </c>
      <c r="V7" s="1151">
        <f>+T7-U7</f>
        <v>105.38999999999999</v>
      </c>
    </row>
    <row r="8" spans="1:22" ht="15" customHeight="1" x14ac:dyDescent="0.35">
      <c r="A8" s="141" t="s">
        <v>579</v>
      </c>
      <c r="B8" s="346">
        <f>46565+23255</f>
        <v>69820</v>
      </c>
      <c r="C8" s="545">
        <v>73310</v>
      </c>
      <c r="D8" s="371">
        <f>+C8</f>
        <v>73310</v>
      </c>
      <c r="E8" s="867">
        <f>+D8</f>
        <v>73310</v>
      </c>
      <c r="F8" s="371">
        <v>76164</v>
      </c>
      <c r="G8" s="783">
        <f>+F8</f>
        <v>76164</v>
      </c>
      <c r="H8" s="371">
        <v>79166</v>
      </c>
      <c r="I8" s="1369"/>
      <c r="J8" s="256" t="s">
        <v>805</v>
      </c>
      <c r="K8" s="257"/>
      <c r="L8" s="257"/>
      <c r="M8" s="1207"/>
      <c r="N8" s="1207"/>
      <c r="O8" s="1307">
        <v>0</v>
      </c>
      <c r="P8" s="1157" t="s">
        <v>586</v>
      </c>
      <c r="Q8" s="256" t="s">
        <v>805</v>
      </c>
      <c r="R8" s="257"/>
      <c r="S8" s="257"/>
      <c r="T8" s="1207"/>
      <c r="U8" s="1207"/>
      <c r="V8" s="1307">
        <v>60</v>
      </c>
    </row>
    <row r="9" spans="1:22" ht="15" customHeight="1" x14ac:dyDescent="0.35">
      <c r="A9" s="1303" t="s">
        <v>578</v>
      </c>
      <c r="B9" s="554">
        <v>2977</v>
      </c>
      <c r="C9" s="519">
        <v>2954</v>
      </c>
      <c r="D9" s="354">
        <f>+B9</f>
        <v>2977</v>
      </c>
      <c r="E9" s="1175">
        <f>+V15</f>
        <v>2954</v>
      </c>
      <c r="F9" s="1221">
        <f>+V10</f>
        <v>5058.99</v>
      </c>
      <c r="G9" s="1175">
        <f>+V10</f>
        <v>5058.99</v>
      </c>
      <c r="H9" s="1221">
        <f>+O15</f>
        <v>5058.99</v>
      </c>
      <c r="I9" s="1370"/>
      <c r="J9" s="256" t="s">
        <v>655</v>
      </c>
      <c r="K9" s="257"/>
      <c r="L9" s="257"/>
      <c r="M9" s="257"/>
      <c r="N9" s="257"/>
      <c r="O9" s="1151">
        <v>0</v>
      </c>
      <c r="P9" s="1159" t="str">
        <f>"      $"&amp;(74671-73310)&amp;" additional from 10 year guidelines"</f>
        <v xml:space="preserve">      $1361 additional from 10 year guidelines</v>
      </c>
      <c r="Q9" s="256" t="s">
        <v>655</v>
      </c>
      <c r="R9" s="257"/>
      <c r="S9" s="257"/>
      <c r="T9" s="257"/>
      <c r="U9" s="257"/>
      <c r="V9" s="1151">
        <f>SUM(V7:V8)*26</f>
        <v>4300.1399999999994</v>
      </c>
    </row>
    <row r="10" spans="1:22" ht="15" customHeight="1" thickBot="1" x14ac:dyDescent="0.4">
      <c r="A10" s="160" t="s">
        <v>141</v>
      </c>
      <c r="B10" s="117">
        <f t="shared" ref="B10:G10" si="2">+B8+B9</f>
        <v>72797</v>
      </c>
      <c r="C10" s="514">
        <f t="shared" si="2"/>
        <v>76264</v>
      </c>
      <c r="D10" s="349">
        <f t="shared" si="2"/>
        <v>76287</v>
      </c>
      <c r="E10" s="349">
        <f t="shared" si="2"/>
        <v>76264</v>
      </c>
      <c r="F10" s="349">
        <f t="shared" si="2"/>
        <v>81222.990000000005</v>
      </c>
      <c r="G10" s="349">
        <f t="shared" si="2"/>
        <v>81222.990000000005</v>
      </c>
      <c r="H10" s="349">
        <f t="shared" ref="H10" si="3">+H8+H9</f>
        <v>84224.99</v>
      </c>
      <c r="I10" s="162"/>
      <c r="J10" s="1141" t="s">
        <v>653</v>
      </c>
      <c r="K10" s="738"/>
      <c r="L10" s="738"/>
      <c r="M10" s="738"/>
      <c r="N10" s="738"/>
      <c r="O10" s="1308">
        <f>ROUND(+O9/(1-0.15),2)</f>
        <v>0</v>
      </c>
      <c r="Q10" s="1141" t="s">
        <v>653</v>
      </c>
      <c r="R10" s="738"/>
      <c r="S10" s="738"/>
      <c r="T10" s="738"/>
      <c r="U10" s="738"/>
      <c r="V10" s="1308">
        <f>ROUND(+V9/(1-0.15),2)</f>
        <v>5058.99</v>
      </c>
    </row>
    <row r="11" spans="1:22" ht="15" customHeight="1" x14ac:dyDescent="0.35">
      <c r="A11" s="153" t="s">
        <v>417</v>
      </c>
      <c r="B11" s="555">
        <v>7.6499999999999999E-2</v>
      </c>
      <c r="C11" s="522">
        <v>7.6499999999999999E-2</v>
      </c>
      <c r="D11" s="1005">
        <f>+$B11</f>
        <v>7.6499999999999999E-2</v>
      </c>
      <c r="E11" s="1005">
        <f>+B11</f>
        <v>7.6499999999999999E-2</v>
      </c>
      <c r="F11" s="1005">
        <f>+$B11</f>
        <v>7.6499999999999999E-2</v>
      </c>
      <c r="G11" s="1005">
        <f>+D11</f>
        <v>7.6499999999999999E-2</v>
      </c>
      <c r="H11" s="1005">
        <f>+$B11</f>
        <v>7.6499999999999999E-2</v>
      </c>
      <c r="I11" s="1371"/>
      <c r="J11" s="1145">
        <v>2026</v>
      </c>
      <c r="K11" s="290"/>
      <c r="L11" s="290"/>
      <c r="M11" s="1146"/>
      <c r="N11" s="1146"/>
      <c r="O11" s="1147"/>
      <c r="Q11" s="1145">
        <v>2024</v>
      </c>
      <c r="R11" s="290"/>
      <c r="S11" s="290"/>
      <c r="T11" s="1146"/>
      <c r="U11" s="1146"/>
      <c r="V11" s="1147"/>
    </row>
    <row r="12" spans="1:22" ht="15" customHeight="1" x14ac:dyDescent="0.35">
      <c r="A12" s="153" t="s">
        <v>229</v>
      </c>
      <c r="B12" s="108">
        <f t="shared" ref="B12:G12" si="4">ROUND(+B10*B11,0)</f>
        <v>5569</v>
      </c>
      <c r="C12" s="515">
        <f t="shared" si="4"/>
        <v>5834</v>
      </c>
      <c r="D12" s="165">
        <f t="shared" si="4"/>
        <v>5836</v>
      </c>
      <c r="E12" s="165">
        <f t="shared" si="4"/>
        <v>5834</v>
      </c>
      <c r="F12" s="165">
        <f t="shared" si="4"/>
        <v>6214</v>
      </c>
      <c r="G12" s="165">
        <f t="shared" si="4"/>
        <v>6214</v>
      </c>
      <c r="H12" s="165">
        <f t="shared" ref="H12" si="5">ROUND(+H10*H11,0)</f>
        <v>6443</v>
      </c>
      <c r="I12" s="96"/>
      <c r="J12" s="256" t="s">
        <v>656</v>
      </c>
      <c r="K12" s="257"/>
      <c r="L12" s="257"/>
      <c r="M12" s="1150">
        <v>266.77999999999997</v>
      </c>
      <c r="N12" s="1150">
        <v>161.38999999999999</v>
      </c>
      <c r="O12" s="1151">
        <f>+M12-N12</f>
        <v>105.38999999999999</v>
      </c>
      <c r="Q12" s="256" t="s">
        <v>648</v>
      </c>
      <c r="R12" s="257"/>
      <c r="S12" s="257"/>
      <c r="T12" s="1148"/>
      <c r="U12" s="1246"/>
      <c r="V12" s="1149"/>
    </row>
    <row r="13" spans="1:22" ht="15" customHeight="1" x14ac:dyDescent="0.35">
      <c r="A13" s="168" t="s">
        <v>143</v>
      </c>
      <c r="B13" s="119">
        <f t="shared" ref="B13:G13" si="6">+B10+B12</f>
        <v>78366</v>
      </c>
      <c r="C13" s="517">
        <f t="shared" si="6"/>
        <v>82098</v>
      </c>
      <c r="D13" s="172">
        <f t="shared" si="6"/>
        <v>82123</v>
      </c>
      <c r="E13" s="172">
        <f t="shared" si="6"/>
        <v>82098</v>
      </c>
      <c r="F13" s="172">
        <f t="shared" si="6"/>
        <v>87436.99</v>
      </c>
      <c r="G13" s="172">
        <f t="shared" si="6"/>
        <v>87436.99</v>
      </c>
      <c r="H13" s="172">
        <f t="shared" ref="H13" si="7">+H10+H12</f>
        <v>90667.99</v>
      </c>
      <c r="I13" s="184"/>
      <c r="J13" s="256" t="s">
        <v>805</v>
      </c>
      <c r="K13" s="257"/>
      <c r="L13" s="257"/>
      <c r="M13" s="1207"/>
      <c r="N13" s="1207"/>
      <c r="O13" s="1307">
        <v>60</v>
      </c>
      <c r="Q13" s="256" t="s">
        <v>650</v>
      </c>
      <c r="R13" s="257"/>
      <c r="S13" s="257"/>
      <c r="T13" s="1150">
        <v>243.62</v>
      </c>
      <c r="U13" s="1150">
        <v>147.04</v>
      </c>
      <c r="V13" s="1151">
        <f>+T13-U13</f>
        <v>96.580000000000013</v>
      </c>
    </row>
    <row r="14" spans="1:22" ht="15" customHeight="1" x14ac:dyDescent="0.35">
      <c r="A14" s="173"/>
      <c r="B14" s="173"/>
      <c r="C14" s="173"/>
      <c r="J14" s="256" t="s">
        <v>655</v>
      </c>
      <c r="K14" s="257"/>
      <c r="L14" s="257"/>
      <c r="M14" s="257"/>
      <c r="N14" s="257"/>
      <c r="O14" s="1151">
        <f>SUM(O12:O13)*26</f>
        <v>4300.1399999999994</v>
      </c>
      <c r="Q14" s="256" t="s">
        <v>655</v>
      </c>
      <c r="R14" s="257"/>
      <c r="S14" s="257"/>
      <c r="T14" s="257"/>
      <c r="U14" s="257"/>
      <c r="V14" s="1151">
        <f>+V13*26</f>
        <v>2511.0800000000004</v>
      </c>
    </row>
    <row r="15" spans="1:22" ht="15" customHeight="1" thickBot="1" x14ac:dyDescent="0.4">
      <c r="A15" s="174" t="s">
        <v>577</v>
      </c>
      <c r="B15" s="550">
        <v>0.1</v>
      </c>
      <c r="C15" s="533">
        <v>0.1</v>
      </c>
      <c r="D15" s="1006">
        <f>+$B15</f>
        <v>0.1</v>
      </c>
      <c r="E15" s="1006">
        <f>+$B15</f>
        <v>0.1</v>
      </c>
      <c r="F15" s="1006">
        <f>+$B15</f>
        <v>0.1</v>
      </c>
      <c r="G15" s="1006">
        <f>+$B15</f>
        <v>0.1</v>
      </c>
      <c r="H15" s="1006">
        <f>+$B15</f>
        <v>0.1</v>
      </c>
      <c r="I15" s="1372"/>
      <c r="J15" s="1141" t="s">
        <v>653</v>
      </c>
      <c r="K15" s="738"/>
      <c r="L15" s="738"/>
      <c r="M15" s="738"/>
      <c r="N15" s="738"/>
      <c r="O15" s="1308">
        <f>ROUND(+O14/(1-0.15),2)</f>
        <v>5058.99</v>
      </c>
      <c r="Q15" s="1141" t="s">
        <v>653</v>
      </c>
      <c r="R15" s="738"/>
      <c r="S15" s="738"/>
      <c r="T15" s="738"/>
      <c r="U15" s="738"/>
      <c r="V15" s="1153">
        <f>ROUND(+V14/(1-0.15),0)</f>
        <v>2954</v>
      </c>
    </row>
    <row r="16" spans="1:22" ht="15" customHeight="1" x14ac:dyDescent="0.35">
      <c r="A16" s="168" t="s">
        <v>149</v>
      </c>
      <c r="B16" s="119">
        <f t="shared" ref="B16:G16" si="8">ROUND(+B13*B15,0)</f>
        <v>7837</v>
      </c>
      <c r="C16" s="517">
        <f t="shared" si="8"/>
        <v>8210</v>
      </c>
      <c r="D16" s="172">
        <f t="shared" si="8"/>
        <v>8212</v>
      </c>
      <c r="E16" s="172">
        <f t="shared" si="8"/>
        <v>8210</v>
      </c>
      <c r="F16" s="172">
        <f t="shared" si="8"/>
        <v>8744</v>
      </c>
      <c r="G16" s="172">
        <f t="shared" si="8"/>
        <v>8744</v>
      </c>
      <c r="H16" s="172">
        <f t="shared" ref="H16" si="9">ROUND(+H13*H15,0)</f>
        <v>9067</v>
      </c>
      <c r="I16" s="184"/>
      <c r="J16" s="1143"/>
      <c r="K16" s="290"/>
      <c r="L16" s="290"/>
      <c r="M16" s="290"/>
      <c r="N16" s="290"/>
      <c r="O16" s="290"/>
      <c r="Q16" s="1152" t="s">
        <v>647</v>
      </c>
      <c r="R16" s="290"/>
      <c r="S16" s="290"/>
      <c r="T16" s="290"/>
      <c r="U16" s="290"/>
      <c r="V16" s="886"/>
    </row>
    <row r="17" spans="1:24" ht="15" customHeight="1" x14ac:dyDescent="0.35">
      <c r="A17" s="173"/>
      <c r="B17" s="173"/>
      <c r="C17" s="173"/>
      <c r="J17" s="257"/>
      <c r="K17" s="257"/>
      <c r="L17" s="257"/>
      <c r="M17" s="1419"/>
      <c r="N17" s="1420"/>
      <c r="O17" s="1377"/>
      <c r="Q17" s="256" t="s">
        <v>656</v>
      </c>
      <c r="R17" s="257"/>
      <c r="S17" s="257"/>
      <c r="T17" s="1150">
        <v>245.96</v>
      </c>
      <c r="U17" s="1150">
        <v>148.63999999999999</v>
      </c>
      <c r="V17" s="1151">
        <f>+T17-U17</f>
        <v>97.320000000000022</v>
      </c>
    </row>
    <row r="18" spans="1:24" ht="15" customHeight="1" x14ac:dyDescent="0.35">
      <c r="A18" s="174" t="s">
        <v>151</v>
      </c>
      <c r="B18" s="111"/>
      <c r="C18" s="505"/>
      <c r="D18" s="140"/>
      <c r="E18" s="140"/>
      <c r="F18" s="140"/>
      <c r="G18" s="140"/>
      <c r="H18" s="140"/>
      <c r="I18" s="154"/>
      <c r="J18" s="257"/>
      <c r="K18" s="257"/>
      <c r="L18" s="124"/>
      <c r="M18" s="1418"/>
      <c r="N18" s="257"/>
      <c r="O18" s="1377"/>
      <c r="Q18" s="256" t="s">
        <v>655</v>
      </c>
      <c r="R18" s="257"/>
      <c r="S18" s="257"/>
      <c r="T18" s="257"/>
      <c r="U18" s="257"/>
      <c r="V18" s="1151">
        <f>+V17*26</f>
        <v>2530.3200000000006</v>
      </c>
      <c r="X18" s="1135"/>
    </row>
    <row r="19" spans="1:24" ht="15" customHeight="1" thickBot="1" x14ac:dyDescent="0.4">
      <c r="A19" s="153" t="s">
        <v>575</v>
      </c>
      <c r="B19" s="361">
        <v>8.9999999999999993E-3</v>
      </c>
      <c r="C19" s="539">
        <v>8.9999999999999993E-3</v>
      </c>
      <c r="D19" s="358">
        <f>+$B19</f>
        <v>8.9999999999999993E-3</v>
      </c>
      <c r="E19" s="358">
        <f>+$B19</f>
        <v>8.9999999999999993E-3</v>
      </c>
      <c r="F19" s="358">
        <f>+$B19</f>
        <v>8.9999999999999993E-3</v>
      </c>
      <c r="G19" s="358">
        <f>+$B19</f>
        <v>8.9999999999999993E-3</v>
      </c>
      <c r="H19" s="358">
        <f>+$B19</f>
        <v>8.9999999999999993E-3</v>
      </c>
      <c r="I19" s="187"/>
      <c r="J19" s="257"/>
      <c r="K19" s="257"/>
      <c r="L19" s="257"/>
      <c r="M19" s="257"/>
      <c r="N19" s="257"/>
      <c r="O19" s="1378"/>
      <c r="Q19" s="1141" t="s">
        <v>653</v>
      </c>
      <c r="R19" s="738"/>
      <c r="S19" s="738"/>
      <c r="T19" s="738"/>
      <c r="U19" s="738"/>
      <c r="V19" s="1153">
        <f>ROUND(+V18/(1-0.15),0)</f>
        <v>2977</v>
      </c>
      <c r="X19" s="1135"/>
    </row>
    <row r="20" spans="1:24" ht="15" customHeight="1" x14ac:dyDescent="0.35">
      <c r="A20" s="153" t="s">
        <v>574</v>
      </c>
      <c r="B20" s="108">
        <f t="shared" ref="B20:G20" si="10">ROUND(B$13*B19,0)</f>
        <v>705</v>
      </c>
      <c r="C20" s="1010">
        <f t="shared" si="10"/>
        <v>739</v>
      </c>
      <c r="D20" s="1011">
        <f t="shared" si="10"/>
        <v>739</v>
      </c>
      <c r="E20" s="1011">
        <f t="shared" si="10"/>
        <v>739</v>
      </c>
      <c r="F20" s="1011">
        <f t="shared" si="10"/>
        <v>787</v>
      </c>
      <c r="G20" s="1011">
        <f t="shared" si="10"/>
        <v>787</v>
      </c>
      <c r="H20" s="1011">
        <f t="shared" ref="H20" si="11">ROUND(H$13*H19,0)</f>
        <v>816</v>
      </c>
      <c r="I20" s="1373"/>
      <c r="X20" s="1135"/>
    </row>
    <row r="21" spans="1:24" ht="15" customHeight="1" thickBot="1" x14ac:dyDescent="0.4">
      <c r="A21" s="153" t="s">
        <v>576</v>
      </c>
      <c r="B21" s="361">
        <v>8.0400000000000003E-3</v>
      </c>
      <c r="C21" s="539">
        <v>8.0400000000000003E-3</v>
      </c>
      <c r="D21" s="358">
        <f>+$B21</f>
        <v>8.0400000000000003E-3</v>
      </c>
      <c r="E21" s="358">
        <f>+$B21</f>
        <v>8.0400000000000003E-3</v>
      </c>
      <c r="F21" s="358">
        <f>+$B21</f>
        <v>8.0400000000000003E-3</v>
      </c>
      <c r="G21" s="358">
        <f>+$B21</f>
        <v>8.0400000000000003E-3</v>
      </c>
      <c r="H21" s="358">
        <f>+$B21</f>
        <v>8.0400000000000003E-3</v>
      </c>
      <c r="I21" s="187"/>
    </row>
    <row r="22" spans="1:24" ht="15" customHeight="1" thickBot="1" x14ac:dyDescent="0.4">
      <c r="A22" s="153" t="s">
        <v>574</v>
      </c>
      <c r="B22" s="108">
        <f t="shared" ref="B22:G22" si="12">ROUND(B$13*B21,0)</f>
        <v>630</v>
      </c>
      <c r="C22" s="1010">
        <f t="shared" si="12"/>
        <v>660</v>
      </c>
      <c r="D22" s="1011">
        <f t="shared" si="12"/>
        <v>660</v>
      </c>
      <c r="E22" s="1011">
        <f t="shared" si="12"/>
        <v>660</v>
      </c>
      <c r="F22" s="1011">
        <f t="shared" si="12"/>
        <v>703</v>
      </c>
      <c r="G22" s="1011">
        <f t="shared" si="12"/>
        <v>703</v>
      </c>
      <c r="H22" s="1011">
        <f t="shared" ref="H22" si="13">ROUND(H$13*H21,0)</f>
        <v>729</v>
      </c>
      <c r="I22" s="1373"/>
      <c r="J22" s="1364" t="s">
        <v>124</v>
      </c>
      <c r="K22" s="1365"/>
      <c r="L22" s="1365"/>
      <c r="M22" s="1365"/>
      <c r="N22" s="1365"/>
      <c r="O22" s="1366"/>
      <c r="Q22" s="1300" t="s">
        <v>124</v>
      </c>
      <c r="R22" s="1301"/>
      <c r="S22" s="1301"/>
      <c r="T22" s="1301"/>
      <c r="U22" s="1301"/>
      <c r="V22" s="1302"/>
    </row>
    <row r="23" spans="1:24" ht="15" customHeight="1" x14ac:dyDescent="0.35">
      <c r="A23" s="129" t="s">
        <v>153</v>
      </c>
      <c r="B23" s="119">
        <f t="shared" ref="B23:G23" si="14">+B20+B22</f>
        <v>1335</v>
      </c>
      <c r="C23" s="517">
        <f t="shared" si="14"/>
        <v>1399</v>
      </c>
      <c r="D23" s="172">
        <f t="shared" si="14"/>
        <v>1399</v>
      </c>
      <c r="E23" s="172">
        <f t="shared" si="14"/>
        <v>1399</v>
      </c>
      <c r="F23" s="172">
        <f t="shared" si="14"/>
        <v>1490</v>
      </c>
      <c r="G23" s="172">
        <f t="shared" si="14"/>
        <v>1490</v>
      </c>
      <c r="H23" s="172">
        <f t="shared" ref="H23" si="15">+H20+H22</f>
        <v>1545</v>
      </c>
      <c r="I23" s="184"/>
      <c r="J23" s="1144">
        <v>2028</v>
      </c>
      <c r="K23" s="290"/>
      <c r="L23" s="290"/>
      <c r="M23" s="290" t="s">
        <v>654</v>
      </c>
      <c r="N23" s="290"/>
      <c r="O23" s="1140">
        <v>0</v>
      </c>
      <c r="Q23" s="1144">
        <v>2025</v>
      </c>
      <c r="R23" s="290"/>
      <c r="S23" s="290"/>
      <c r="T23" s="290" t="s">
        <v>654</v>
      </c>
      <c r="U23" s="290"/>
      <c r="V23" s="1140">
        <f>2403*12</f>
        <v>28836</v>
      </c>
    </row>
    <row r="24" spans="1:24" ht="15" customHeight="1" x14ac:dyDescent="0.35">
      <c r="J24" s="1137" t="s">
        <v>641</v>
      </c>
      <c r="K24" s="257"/>
      <c r="L24" s="1154">
        <f>ROUNDUP(SUM(L25:L29)+SUM(O25:O29),-2)</f>
        <v>0</v>
      </c>
      <c r="M24" s="257" t="s">
        <v>670</v>
      </c>
      <c r="N24" s="257"/>
      <c r="O24" s="1174"/>
      <c r="Q24" s="1137" t="s">
        <v>641</v>
      </c>
      <c r="R24" s="257"/>
      <c r="S24" s="1154">
        <f>ROUNDUP(SUM(S25:S29)+SUM(V25:V29),-2)</f>
        <v>24000</v>
      </c>
      <c r="T24" s="257" t="s">
        <v>670</v>
      </c>
      <c r="U24" s="257"/>
      <c r="V24" s="1174"/>
    </row>
    <row r="25" spans="1:24" ht="15" customHeight="1" x14ac:dyDescent="0.35">
      <c r="A25" s="120" t="s">
        <v>98</v>
      </c>
      <c r="B25" s="191"/>
      <c r="C25" s="542"/>
      <c r="D25" s="350"/>
      <c r="E25" s="350"/>
      <c r="F25" s="350"/>
      <c r="G25" s="350"/>
      <c r="H25" s="350"/>
      <c r="I25" s="1374"/>
      <c r="J25" s="256" t="s">
        <v>642</v>
      </c>
      <c r="K25" s="257"/>
      <c r="L25" s="1139">
        <v>0</v>
      </c>
      <c r="M25" s="257" t="s">
        <v>59</v>
      </c>
      <c r="N25" s="257"/>
      <c r="O25" s="1140">
        <v>0</v>
      </c>
      <c r="Q25" s="256" t="s">
        <v>642</v>
      </c>
      <c r="R25" s="257"/>
      <c r="S25" s="1139">
        <v>8300</v>
      </c>
      <c r="T25" s="257" t="s">
        <v>59</v>
      </c>
      <c r="U25" s="257"/>
      <c r="V25" s="1140">
        <v>1819.33</v>
      </c>
    </row>
    <row r="26" spans="1:24" ht="15" customHeight="1" x14ac:dyDescent="0.35">
      <c r="A26" s="123" t="s">
        <v>158</v>
      </c>
      <c r="B26" s="192">
        <v>1500</v>
      </c>
      <c r="C26" s="541">
        <v>1500</v>
      </c>
      <c r="D26" s="351">
        <f>+B26</f>
        <v>1500</v>
      </c>
      <c r="E26" s="351">
        <f>+C26</f>
        <v>1500</v>
      </c>
      <c r="F26" s="351">
        <f>+D26</f>
        <v>1500</v>
      </c>
      <c r="G26" s="351">
        <f>+E26</f>
        <v>1500</v>
      </c>
      <c r="H26" s="351">
        <f>+F26</f>
        <v>1500</v>
      </c>
      <c r="I26" s="190"/>
      <c r="J26" s="256" t="s">
        <v>643</v>
      </c>
      <c r="K26" s="257"/>
      <c r="L26" s="1139">
        <v>0</v>
      </c>
      <c r="M26" s="257" t="s">
        <v>646</v>
      </c>
      <c r="N26" s="257"/>
      <c r="O26" s="1140">
        <v>0</v>
      </c>
      <c r="Q26" s="256" t="s">
        <v>643</v>
      </c>
      <c r="R26" s="257"/>
      <c r="S26" s="1139">
        <v>5300</v>
      </c>
      <c r="T26" s="257" t="s">
        <v>646</v>
      </c>
      <c r="U26" s="257"/>
      <c r="V26" s="1140">
        <v>492.68</v>
      </c>
    </row>
    <row r="27" spans="1:24" ht="15" customHeight="1" x14ac:dyDescent="0.35">
      <c r="A27" s="123" t="s">
        <v>584</v>
      </c>
      <c r="B27" s="192">
        <v>1300</v>
      </c>
      <c r="C27" s="541">
        <v>1300</v>
      </c>
      <c r="D27" s="351">
        <f t="shared" ref="D27:E28" si="16">+B27</f>
        <v>1300</v>
      </c>
      <c r="E27" s="351">
        <f t="shared" si="16"/>
        <v>1300</v>
      </c>
      <c r="F27" s="351">
        <f t="shared" ref="F27:H28" si="17">+D27</f>
        <v>1300</v>
      </c>
      <c r="G27" s="351">
        <f t="shared" ref="G27:G28" si="18">+E27</f>
        <v>1300</v>
      </c>
      <c r="H27" s="351">
        <f t="shared" si="17"/>
        <v>1300</v>
      </c>
      <c r="I27" s="190"/>
      <c r="J27" s="256" t="s">
        <v>57</v>
      </c>
      <c r="K27" s="257"/>
      <c r="L27" s="1139">
        <v>0</v>
      </c>
      <c r="M27" s="1363" t="s">
        <v>757</v>
      </c>
      <c r="N27" s="1363"/>
      <c r="O27" s="1140">
        <v>0</v>
      </c>
      <c r="Q27" s="256" t="s">
        <v>57</v>
      </c>
      <c r="R27" s="257"/>
      <c r="S27" s="1139">
        <f>291*12</f>
        <v>3492</v>
      </c>
      <c r="T27" s="1297" t="s">
        <v>757</v>
      </c>
      <c r="U27" s="1297"/>
      <c r="V27" s="1140">
        <v>1167</v>
      </c>
    </row>
    <row r="28" spans="1:24" ht="15" customHeight="1" x14ac:dyDescent="0.35">
      <c r="A28" s="123" t="s">
        <v>98</v>
      </c>
      <c r="B28" s="192">
        <v>600</v>
      </c>
      <c r="C28" s="541">
        <v>600</v>
      </c>
      <c r="D28" s="351">
        <f t="shared" si="16"/>
        <v>600</v>
      </c>
      <c r="E28" s="351">
        <f t="shared" si="16"/>
        <v>600</v>
      </c>
      <c r="F28" s="351">
        <f t="shared" si="17"/>
        <v>600</v>
      </c>
      <c r="G28" s="351">
        <f t="shared" si="18"/>
        <v>600</v>
      </c>
      <c r="H28" s="351">
        <f t="shared" si="17"/>
        <v>600</v>
      </c>
      <c r="I28" s="190"/>
      <c r="J28" s="256" t="s">
        <v>726</v>
      </c>
      <c r="K28" s="257"/>
      <c r="L28" s="1139">
        <v>0</v>
      </c>
      <c r="M28" s="257" t="s">
        <v>728</v>
      </c>
      <c r="N28" s="257"/>
      <c r="O28" s="1140">
        <v>0</v>
      </c>
      <c r="Q28" s="256" t="s">
        <v>726</v>
      </c>
      <c r="R28" s="257"/>
      <c r="S28" s="1139">
        <v>1015.87</v>
      </c>
      <c r="T28" s="257" t="s">
        <v>728</v>
      </c>
      <c r="U28" s="257"/>
      <c r="V28" s="1140">
        <v>515</v>
      </c>
    </row>
    <row r="29" spans="1:24" ht="15" customHeight="1" thickBot="1" x14ac:dyDescent="0.4">
      <c r="A29" s="134" t="s">
        <v>160</v>
      </c>
      <c r="B29" s="193">
        <f t="shared" ref="B29:G29" si="19">+SUM(B26:B28)</f>
        <v>3400</v>
      </c>
      <c r="C29" s="543">
        <f t="shared" si="19"/>
        <v>3400</v>
      </c>
      <c r="D29" s="352">
        <f t="shared" si="19"/>
        <v>3400</v>
      </c>
      <c r="E29" s="352">
        <f t="shared" si="19"/>
        <v>3400</v>
      </c>
      <c r="F29" s="352">
        <f t="shared" si="19"/>
        <v>3400</v>
      </c>
      <c r="G29" s="352">
        <f t="shared" si="19"/>
        <v>3400</v>
      </c>
      <c r="H29" s="352">
        <f t="shared" ref="H29" si="20">+SUM(H26:H28)</f>
        <v>3400</v>
      </c>
      <c r="I29" s="1375"/>
      <c r="J29" s="1141" t="s">
        <v>727</v>
      </c>
      <c r="K29" s="738"/>
      <c r="L29" s="1223">
        <v>0</v>
      </c>
      <c r="M29" s="738" t="s">
        <v>729</v>
      </c>
      <c r="N29" s="738"/>
      <c r="O29" s="1224">
        <v>0</v>
      </c>
      <c r="Q29" s="1141" t="s">
        <v>727</v>
      </c>
      <c r="R29" s="738"/>
      <c r="S29" s="1223">
        <v>1079.8800000000001</v>
      </c>
      <c r="T29" s="738" t="s">
        <v>729</v>
      </c>
      <c r="U29" s="738"/>
      <c r="V29" s="1224">
        <v>800</v>
      </c>
    </row>
    <row r="30" spans="1:24" ht="15" customHeight="1" thickBot="1" x14ac:dyDescent="0.4">
      <c r="J30" s="1222">
        <v>2027</v>
      </c>
      <c r="K30" s="257"/>
      <c r="L30" s="257"/>
      <c r="M30" s="257" t="s">
        <v>654</v>
      </c>
      <c r="N30" s="257"/>
      <c r="O30" s="1140">
        <v>0</v>
      </c>
      <c r="Q30" s="1222">
        <v>2024</v>
      </c>
      <c r="R30" s="257"/>
      <c r="S30" s="257"/>
      <c r="T30" s="257" t="s">
        <v>654</v>
      </c>
      <c r="U30" s="257"/>
      <c r="V30" s="1140">
        <f>2514*12</f>
        <v>30168</v>
      </c>
    </row>
    <row r="31" spans="1:24" ht="15" customHeight="1" thickBot="1" x14ac:dyDescent="0.4">
      <c r="A31" s="938" t="s">
        <v>573</v>
      </c>
      <c r="B31" s="1330">
        <f t="shared" ref="B31:G31" si="21">+B13+B16+B23+B29</f>
        <v>90938</v>
      </c>
      <c r="C31" s="1331">
        <f t="shared" si="21"/>
        <v>95107</v>
      </c>
      <c r="D31" s="1335">
        <f t="shared" si="21"/>
        <v>95134</v>
      </c>
      <c r="E31" s="1335">
        <f t="shared" si="21"/>
        <v>95107</v>
      </c>
      <c r="F31" s="1332">
        <f t="shared" si="21"/>
        <v>101070.99</v>
      </c>
      <c r="G31" s="1007">
        <f t="shared" si="21"/>
        <v>101070.99</v>
      </c>
      <c r="H31" s="1332">
        <f t="shared" ref="H31" si="22">+H13+H16+H23+H29</f>
        <v>104679.99</v>
      </c>
      <c r="I31" s="184"/>
      <c r="J31" s="1137" t="s">
        <v>641</v>
      </c>
      <c r="K31" s="257"/>
      <c r="L31" s="1154">
        <f>ROUNDUP(+L32+L33+L34+O32+O33+O34,-2)</f>
        <v>0</v>
      </c>
      <c r="M31" s="257" t="s">
        <v>670</v>
      </c>
      <c r="N31" s="257"/>
      <c r="O31" s="1138"/>
      <c r="Q31" s="1137" t="s">
        <v>641</v>
      </c>
      <c r="R31" s="257"/>
      <c r="S31" s="1154">
        <f>ROUNDUP(+S32+S33+S34+V32+V33+V34,-2)</f>
        <v>21200</v>
      </c>
      <c r="T31" s="257" t="s">
        <v>670</v>
      </c>
      <c r="U31" s="257"/>
      <c r="V31" s="1138"/>
    </row>
    <row r="32" spans="1:24" ht="15" customHeight="1" x14ac:dyDescent="0.35">
      <c r="A32" s="196" t="s">
        <v>580</v>
      </c>
      <c r="B32" s="546"/>
      <c r="C32" s="546"/>
      <c r="D32" s="1008">
        <f>(+D31-B31)/B31</f>
        <v>4.6141327057995556E-2</v>
      </c>
      <c r="E32" s="1008">
        <f>(+E31-B31)/B31</f>
        <v>4.5844421473971275E-2</v>
      </c>
      <c r="F32" s="1008">
        <f>(+F31-D31)/D31</f>
        <v>6.2406605419723815E-2</v>
      </c>
      <c r="G32" s="1008">
        <f>(+G31-D31)/D31</f>
        <v>6.2406605419723815E-2</v>
      </c>
      <c r="H32" s="1008">
        <f>(+H31-F31)/F31</f>
        <v>3.5707575437818509E-2</v>
      </c>
      <c r="I32" s="1008"/>
      <c r="J32" s="256" t="s">
        <v>642</v>
      </c>
      <c r="K32" s="257"/>
      <c r="L32" s="1139">
        <v>0</v>
      </c>
      <c r="M32" s="257" t="s">
        <v>645</v>
      </c>
      <c r="N32" s="257"/>
      <c r="O32" s="1140">
        <v>0</v>
      </c>
      <c r="Q32" s="256" t="s">
        <v>642</v>
      </c>
      <c r="R32" s="257"/>
      <c r="S32" s="1139">
        <v>8398.58</v>
      </c>
      <c r="T32" s="257" t="s">
        <v>645</v>
      </c>
      <c r="U32" s="257"/>
      <c r="V32" s="1140">
        <f>400*6</f>
        <v>2400</v>
      </c>
    </row>
    <row r="33" spans="1:22" ht="15" customHeight="1" x14ac:dyDescent="0.35">
      <c r="A33" s="257"/>
      <c r="J33" s="256" t="s">
        <v>643</v>
      </c>
      <c r="K33" s="257"/>
      <c r="L33" s="1139">
        <v>0</v>
      </c>
      <c r="M33" s="257" t="s">
        <v>646</v>
      </c>
      <c r="N33" s="257"/>
      <c r="O33" s="1140">
        <v>0</v>
      </c>
      <c r="Q33" s="256" t="s">
        <v>643</v>
      </c>
      <c r="R33" s="257"/>
      <c r="S33" s="1139">
        <v>5274.66</v>
      </c>
      <c r="T33" s="257" t="s">
        <v>646</v>
      </c>
      <c r="U33" s="257"/>
      <c r="V33" s="1140">
        <v>400</v>
      </c>
    </row>
    <row r="34" spans="1:22" s="173" customFormat="1" x14ac:dyDescent="0.35">
      <c r="A34" s="154" t="s">
        <v>582</v>
      </c>
      <c r="J34" s="256" t="s">
        <v>644</v>
      </c>
      <c r="K34" s="257"/>
      <c r="L34" s="1139">
        <v>0</v>
      </c>
      <c r="M34" s="1514" t="s">
        <v>671</v>
      </c>
      <c r="N34" s="1514"/>
      <c r="O34" s="1140">
        <v>0</v>
      </c>
      <c r="Q34" s="256" t="s">
        <v>644</v>
      </c>
      <c r="R34" s="257"/>
      <c r="S34" s="1139">
        <f>300*12</f>
        <v>3600</v>
      </c>
      <c r="T34" s="1514" t="s">
        <v>671</v>
      </c>
      <c r="U34" s="1514"/>
      <c r="V34" s="1140">
        <f>86.33*12</f>
        <v>1035.96</v>
      </c>
    </row>
    <row r="35" spans="1:22" s="173" customFormat="1" ht="15" thickBot="1" x14ac:dyDescent="0.4">
      <c r="A35" s="154" t="s">
        <v>583</v>
      </c>
      <c r="J35" s="1141"/>
      <c r="K35" s="738"/>
      <c r="L35" s="738"/>
      <c r="M35" s="1520"/>
      <c r="N35" s="1520"/>
      <c r="O35" s="1142"/>
      <c r="Q35" s="1141"/>
      <c r="R35" s="738"/>
      <c r="S35" s="738"/>
      <c r="T35" s="1520"/>
      <c r="U35" s="1520"/>
      <c r="V35" s="1142"/>
    </row>
    <row r="36" spans="1:22" x14ac:dyDescent="0.35">
      <c r="A36" s="257"/>
      <c r="B36" s="194"/>
      <c r="C36" s="194"/>
      <c r="D36" s="1009"/>
      <c r="E36" s="1009"/>
      <c r="F36" s="1009"/>
      <c r="G36" s="1009"/>
      <c r="H36" s="1009"/>
      <c r="I36" s="1009"/>
      <c r="J36" s="1144">
        <v>2026</v>
      </c>
      <c r="K36" s="1143"/>
      <c r="L36" s="1143"/>
      <c r="M36" s="290"/>
      <c r="N36" s="290"/>
      <c r="O36" s="886"/>
      <c r="Q36" s="1136" t="s">
        <v>647</v>
      </c>
      <c r="R36" s="1143"/>
      <c r="S36" s="1143"/>
      <c r="T36" s="290"/>
      <c r="U36" s="290"/>
      <c r="V36" s="886"/>
    </row>
    <row r="37" spans="1:22" ht="18.5" customHeight="1" x14ac:dyDescent="0.35">
      <c r="A37" s="754"/>
      <c r="J37" s="1137" t="s">
        <v>641</v>
      </c>
      <c r="K37" s="895"/>
      <c r="L37" s="1154">
        <f>ROUNDUP(+L38+L39+L40+O38+O39+O40,0)</f>
        <v>0</v>
      </c>
      <c r="M37" s="257"/>
      <c r="N37" s="257"/>
      <c r="O37" s="1138"/>
      <c r="Q37" s="1137" t="s">
        <v>641</v>
      </c>
      <c r="R37" s="895"/>
      <c r="S37" s="1154">
        <f>ROUNDUP(+S38+S39+S40+V38+V39+V40,0)</f>
        <v>23255</v>
      </c>
      <c r="T37" s="257"/>
      <c r="U37" s="257"/>
      <c r="V37" s="1138"/>
    </row>
    <row r="38" spans="1:22" ht="15" thickBot="1" x14ac:dyDescent="0.4">
      <c r="A38" s="257"/>
      <c r="B38" s="738"/>
      <c r="J38" s="256" t="s">
        <v>642</v>
      </c>
      <c r="K38" s="257"/>
      <c r="L38" s="1139">
        <v>0</v>
      </c>
      <c r="M38" s="257" t="s">
        <v>645</v>
      </c>
      <c r="N38" s="257"/>
      <c r="O38" s="1140">
        <v>0</v>
      </c>
      <c r="Q38" s="256" t="s">
        <v>642</v>
      </c>
      <c r="R38" s="257"/>
      <c r="S38" s="1139">
        <f>697.87*12</f>
        <v>8374.44</v>
      </c>
      <c r="T38" s="257" t="s">
        <v>645</v>
      </c>
      <c r="U38" s="257"/>
      <c r="V38" s="1140">
        <f>200*12</f>
        <v>2400</v>
      </c>
    </row>
    <row r="39" spans="1:22" x14ac:dyDescent="0.35">
      <c r="A39" s="895"/>
      <c r="B39" s="739" t="s">
        <v>421</v>
      </c>
      <c r="J39" s="256" t="s">
        <v>643</v>
      </c>
      <c r="K39" s="257"/>
      <c r="L39" s="1139">
        <v>0</v>
      </c>
      <c r="M39" s="257" t="s">
        <v>646</v>
      </c>
      <c r="N39" s="257"/>
      <c r="O39" s="1140">
        <v>0</v>
      </c>
      <c r="Q39" s="256" t="s">
        <v>643</v>
      </c>
      <c r="R39" s="257"/>
      <c r="S39" s="1139">
        <f>(703.66*12)-2607.13</f>
        <v>5836.79</v>
      </c>
      <c r="T39" s="257" t="s">
        <v>646</v>
      </c>
      <c r="U39" s="257"/>
      <c r="V39" s="1140">
        <f>(35+1.38)*12</f>
        <v>436.56000000000006</v>
      </c>
    </row>
    <row r="40" spans="1:22" ht="14.5" customHeight="1" x14ac:dyDescent="0.35">
      <c r="A40" s="257"/>
      <c r="J40" s="256" t="s">
        <v>644</v>
      </c>
      <c r="K40" s="257"/>
      <c r="L40" s="1139">
        <v>0</v>
      </c>
      <c r="M40" s="1514" t="s">
        <v>671</v>
      </c>
      <c r="N40" s="1514"/>
      <c r="O40" s="1140">
        <v>0</v>
      </c>
      <c r="Q40" s="256" t="s">
        <v>644</v>
      </c>
      <c r="R40" s="257"/>
      <c r="S40" s="1139">
        <f>300*12</f>
        <v>3600</v>
      </c>
      <c r="T40" s="1514" t="s">
        <v>671</v>
      </c>
      <c r="U40" s="1514"/>
      <c r="V40" s="1140">
        <f>8443.92-5836.79</f>
        <v>2607.13</v>
      </c>
    </row>
    <row r="41" spans="1:22" ht="15" thickBot="1" x14ac:dyDescent="0.4">
      <c r="A41" s="257"/>
      <c r="B41" s="738"/>
      <c r="J41" s="1141"/>
      <c r="K41" s="738"/>
      <c r="L41" s="738"/>
      <c r="M41" s="1520"/>
      <c r="N41" s="1520"/>
      <c r="O41" s="1142"/>
      <c r="Q41" s="1141"/>
      <c r="R41" s="738"/>
      <c r="S41" s="738"/>
      <c r="T41" s="1520"/>
      <c r="U41" s="1520"/>
      <c r="V41" s="1142"/>
    </row>
    <row r="42" spans="1:22" x14ac:dyDescent="0.35">
      <c r="A42" s="895"/>
      <c r="B42" s="739" t="s">
        <v>421</v>
      </c>
    </row>
    <row r="43" spans="1:22" ht="14.5" customHeight="1" x14ac:dyDescent="0.35">
      <c r="A43" s="257"/>
    </row>
    <row r="44" spans="1:22" ht="15" thickBot="1" x14ac:dyDescent="0.4">
      <c r="A44" s="257"/>
      <c r="B44" s="738"/>
    </row>
    <row r="45" spans="1:22" x14ac:dyDescent="0.35">
      <c r="A45" s="1334"/>
      <c r="B45" s="739" t="s">
        <v>421</v>
      </c>
    </row>
    <row r="46" spans="1:22" x14ac:dyDescent="0.35">
      <c r="A46" s="257"/>
    </row>
    <row r="47" spans="1:22" x14ac:dyDescent="0.35">
      <c r="A47" s="257"/>
    </row>
    <row r="48" spans="1:22" x14ac:dyDescent="0.35">
      <c r="A48" s="257"/>
    </row>
    <row r="49" spans="1:1" x14ac:dyDescent="0.35">
      <c r="A49" s="257"/>
    </row>
  </sheetData>
  <mergeCells count="6">
    <mergeCell ref="T40:U41"/>
    <mergeCell ref="Q4:V4"/>
    <mergeCell ref="T34:U35"/>
    <mergeCell ref="J4:O4"/>
    <mergeCell ref="M34:N35"/>
    <mergeCell ref="M40:N41"/>
  </mergeCells>
  <pageMargins left="0" right="0" top="0.5" bottom="0" header="0.3" footer="0.3"/>
  <pageSetup scale="85" orientation="landscape" horizontalDpi="4294967293" verticalDpi="0" r:id="rId1"/>
  <headerFooter>
    <oddFooter>&amp;R&amp;D</oddFooter>
  </headerFooter>
  <rowBreaks count="1" manualBreakCount="1">
    <brk id="17"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topLeftCell="A5" workbookViewId="0">
      <selection activeCell="A4" sqref="A4:J4"/>
    </sheetView>
  </sheetViews>
  <sheetFormatPr defaultRowHeight="15.5" x14ac:dyDescent="0.35"/>
  <cols>
    <col min="1" max="16384" width="8.7265625" style="1155"/>
  </cols>
  <sheetData>
    <row r="3" spans="1:10" ht="20" x14ac:dyDescent="0.4">
      <c r="A3" s="1524" t="s">
        <v>79</v>
      </c>
      <c r="B3" s="1524"/>
      <c r="C3" s="1524"/>
      <c r="D3" s="1524"/>
      <c r="E3" s="1524"/>
      <c r="F3" s="1524"/>
      <c r="G3" s="1524"/>
      <c r="H3" s="1524"/>
      <c r="I3" s="1524"/>
      <c r="J3" s="1524"/>
    </row>
    <row r="4" spans="1:10" x14ac:dyDescent="0.35">
      <c r="A4" s="1525" t="s">
        <v>829</v>
      </c>
      <c r="B4" s="1525"/>
      <c r="C4" s="1525"/>
      <c r="D4" s="1525"/>
      <c r="E4" s="1525"/>
      <c r="F4" s="1525"/>
      <c r="G4" s="1525"/>
      <c r="H4" s="1525"/>
      <c r="I4" s="1525"/>
      <c r="J4" s="1525"/>
    </row>
    <row r="7" spans="1:10" x14ac:dyDescent="0.35">
      <c r="A7" s="1155" t="s">
        <v>668</v>
      </c>
    </row>
    <row r="8" spans="1:10" x14ac:dyDescent="0.35">
      <c r="A8" s="1155" t="s">
        <v>658</v>
      </c>
    </row>
    <row r="9" spans="1:10" x14ac:dyDescent="0.35">
      <c r="A9" s="1155" t="s">
        <v>669</v>
      </c>
    </row>
    <row r="10" spans="1:10" x14ac:dyDescent="0.35">
      <c r="A10" s="1155" t="s">
        <v>662</v>
      </c>
    </row>
    <row r="11" spans="1:10" x14ac:dyDescent="0.35">
      <c r="A11" s="1155" t="s">
        <v>672</v>
      </c>
    </row>
    <row r="12" spans="1:10" x14ac:dyDescent="0.35">
      <c r="B12" s="1155" t="s">
        <v>659</v>
      </c>
    </row>
    <row r="13" spans="1:10" x14ac:dyDescent="0.35">
      <c r="B13" s="1155" t="s">
        <v>660</v>
      </c>
    </row>
    <row r="14" spans="1:10" x14ac:dyDescent="0.35">
      <c r="B14" s="1155" t="s">
        <v>661</v>
      </c>
    </row>
    <row r="16" spans="1:10" x14ac:dyDescent="0.35">
      <c r="A16" s="1155" t="s">
        <v>666</v>
      </c>
    </row>
    <row r="17" spans="1:2" x14ac:dyDescent="0.35">
      <c r="A17" s="1155" t="s">
        <v>663</v>
      </c>
    </row>
    <row r="18" spans="1:2" x14ac:dyDescent="0.35">
      <c r="A18" s="1155" t="s">
        <v>830</v>
      </c>
    </row>
    <row r="19" spans="1:2" x14ac:dyDescent="0.35">
      <c r="A19" s="1155" t="s">
        <v>664</v>
      </c>
    </row>
    <row r="20" spans="1:2" x14ac:dyDescent="0.35">
      <c r="A20" s="1155" t="s">
        <v>665</v>
      </c>
    </row>
    <row r="21" spans="1:2" x14ac:dyDescent="0.35">
      <c r="B21" s="1160" t="s">
        <v>833</v>
      </c>
    </row>
    <row r="22" spans="1:2" x14ac:dyDescent="0.35">
      <c r="B22" s="1155" t="s">
        <v>831</v>
      </c>
    </row>
    <row r="24" spans="1:2" x14ac:dyDescent="0.35">
      <c r="B24" s="1155" t="s">
        <v>667</v>
      </c>
    </row>
    <row r="25" spans="1:2" x14ac:dyDescent="0.35">
      <c r="B25" s="1155" t="s">
        <v>832</v>
      </c>
    </row>
  </sheetData>
  <mergeCells count="2">
    <mergeCell ref="A3:J3"/>
    <mergeCell ref="A4:J4"/>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60"/>
  <sheetViews>
    <sheetView showGridLines="0" topLeftCell="F1" workbookViewId="0">
      <selection activeCell="T9" sqref="T9"/>
    </sheetView>
  </sheetViews>
  <sheetFormatPr defaultRowHeight="14.5" x14ac:dyDescent="0.35"/>
  <cols>
    <col min="1" max="1" width="49.36328125" style="109" customWidth="1"/>
    <col min="2" max="2" width="13.90625" style="109" hidden="1" customWidth="1"/>
    <col min="3" max="3" width="14" style="109" hidden="1" customWidth="1"/>
    <col min="4" max="4" width="14" style="173" customWidth="1"/>
    <col min="5" max="5" width="14" style="173" hidden="1" customWidth="1"/>
    <col min="6" max="6" width="14" style="173" customWidth="1"/>
    <col min="7" max="7" width="4" style="109" customWidth="1"/>
    <col min="8" max="8" width="9.453125" style="109" bestFit="1" customWidth="1"/>
    <col min="9" max="9" width="8.7265625" style="109"/>
    <col min="10" max="10" width="11.08984375" style="109" bestFit="1" customWidth="1"/>
    <col min="11" max="11" width="8.7265625" style="109" customWidth="1"/>
    <col min="12" max="12" width="10.90625" style="109" customWidth="1"/>
    <col min="13" max="13" width="11.6328125" style="109" customWidth="1"/>
    <col min="14" max="14" width="4" style="109" customWidth="1"/>
    <col min="15" max="15" width="9.453125" style="109" bestFit="1" customWidth="1"/>
    <col min="16" max="16" width="8.7265625" style="109"/>
    <col min="17" max="17" width="11.08984375" style="109" bestFit="1" customWidth="1"/>
    <col min="18" max="18" width="8.7265625" style="109" customWidth="1"/>
    <col min="19" max="19" width="10.90625" style="109" customWidth="1"/>
    <col min="20" max="20" width="11.6328125" style="109" customWidth="1"/>
    <col min="21" max="16384" width="8.7265625" style="109"/>
  </cols>
  <sheetData>
    <row r="1" spans="1:22" ht="21" x14ac:dyDescent="0.35">
      <c r="A1" s="1376" t="s">
        <v>694</v>
      </c>
      <c r="B1" s="1376"/>
      <c r="C1" s="1376"/>
      <c r="D1" s="1376"/>
      <c r="E1" s="1376"/>
      <c r="F1" s="1376"/>
      <c r="G1" s="1376"/>
      <c r="H1" s="1376"/>
      <c r="I1" s="1376"/>
      <c r="J1" s="1376"/>
      <c r="K1" s="1376"/>
      <c r="L1" s="1376"/>
      <c r="M1" s="1376"/>
      <c r="N1" s="1376"/>
      <c r="O1" s="1376"/>
      <c r="P1" s="1376"/>
      <c r="Q1" s="1376"/>
      <c r="R1" s="1376"/>
      <c r="S1" s="1376"/>
      <c r="T1" s="1376"/>
    </row>
    <row r="2" spans="1:22" x14ac:dyDescent="0.35">
      <c r="A2" s="109" t="s">
        <v>695</v>
      </c>
      <c r="B2" s="733"/>
      <c r="C2" s="1172"/>
      <c r="D2" s="1002"/>
      <c r="E2" s="1002"/>
      <c r="F2" s="1173"/>
    </row>
    <row r="3" spans="1:22" ht="43.5" customHeight="1" thickBot="1" x14ac:dyDescent="0.4">
      <c r="A3" s="752"/>
      <c r="B3" s="997" t="s">
        <v>697</v>
      </c>
      <c r="C3" s="726" t="s">
        <v>699</v>
      </c>
      <c r="D3" s="973" t="s">
        <v>686</v>
      </c>
      <c r="E3" s="973" t="s">
        <v>687</v>
      </c>
      <c r="F3" s="973" t="s">
        <v>827</v>
      </c>
      <c r="H3" s="1158"/>
      <c r="O3" s="1158"/>
    </row>
    <row r="4" spans="1:22" ht="15" customHeight="1" thickBot="1" x14ac:dyDescent="0.4">
      <c r="A4" s="752" t="s">
        <v>581</v>
      </c>
      <c r="B4" s="998">
        <v>10</v>
      </c>
      <c r="C4" s="1000">
        <v>10</v>
      </c>
      <c r="D4" s="1003">
        <v>10</v>
      </c>
      <c r="E4" s="1003">
        <v>10</v>
      </c>
      <c r="F4" s="1003">
        <v>11</v>
      </c>
      <c r="H4" s="1521" t="s">
        <v>657</v>
      </c>
      <c r="I4" s="1522"/>
      <c r="J4" s="1522"/>
      <c r="K4" s="1522"/>
      <c r="L4" s="1522"/>
      <c r="M4" s="1523"/>
      <c r="O4" s="1521" t="s">
        <v>657</v>
      </c>
      <c r="P4" s="1522"/>
      <c r="Q4" s="1522"/>
      <c r="R4" s="1522"/>
      <c r="S4" s="1522"/>
      <c r="T4" s="1523"/>
    </row>
    <row r="5" spans="1:22" ht="25.5" customHeight="1" x14ac:dyDescent="0.35">
      <c r="A5" s="752"/>
      <c r="B5" s="777"/>
      <c r="C5" s="1001" t="s">
        <v>585</v>
      </c>
      <c r="D5" s="1004"/>
      <c r="E5" s="1004"/>
      <c r="F5" s="1004"/>
      <c r="H5" s="1145">
        <v>2028</v>
      </c>
      <c r="I5" s="290"/>
      <c r="J5" s="290"/>
      <c r="K5" s="1146"/>
      <c r="L5" s="1298" t="s">
        <v>651</v>
      </c>
      <c r="M5" s="1147"/>
      <c r="O5" s="1145">
        <v>2025</v>
      </c>
      <c r="P5" s="290"/>
      <c r="Q5" s="290"/>
      <c r="R5" s="1146"/>
      <c r="S5" s="1298" t="s">
        <v>651</v>
      </c>
      <c r="T5" s="1147"/>
    </row>
    <row r="6" spans="1:22" ht="15" customHeight="1" x14ac:dyDescent="0.35">
      <c r="A6" s="376" t="s">
        <v>35</v>
      </c>
      <c r="B6" s="347">
        <f t="shared" ref="B6:E6" si="0">+B8-B7</f>
        <v>53310</v>
      </c>
      <c r="C6" s="740">
        <f t="shared" si="0"/>
        <v>52110</v>
      </c>
      <c r="D6" s="370">
        <f t="shared" si="0"/>
        <v>37910</v>
      </c>
      <c r="E6" s="143">
        <f t="shared" si="0"/>
        <v>73310</v>
      </c>
      <c r="F6" s="370">
        <f t="shared" ref="F6" si="1">+F8-F7</f>
        <v>77776</v>
      </c>
      <c r="H6" s="256" t="s">
        <v>648</v>
      </c>
      <c r="I6" s="257"/>
      <c r="J6" s="257"/>
      <c r="K6" s="1148" t="s">
        <v>649</v>
      </c>
      <c r="L6" s="1299"/>
      <c r="M6" s="1149" t="s">
        <v>652</v>
      </c>
      <c r="O6" s="256" t="s">
        <v>648</v>
      </c>
      <c r="P6" s="257"/>
      <c r="Q6" s="257"/>
      <c r="R6" s="1148" t="s">
        <v>649</v>
      </c>
      <c r="S6" s="1299"/>
      <c r="T6" s="1149" t="s">
        <v>652</v>
      </c>
    </row>
    <row r="7" spans="1:22" ht="15" customHeight="1" thickBot="1" x14ac:dyDescent="0.4">
      <c r="A7" s="999" t="s">
        <v>124</v>
      </c>
      <c r="B7" s="114">
        <v>20000</v>
      </c>
      <c r="C7" s="508">
        <v>21200</v>
      </c>
      <c r="D7" s="1383">
        <f>Q22</f>
        <v>35400</v>
      </c>
      <c r="E7" s="1156">
        <f>ROUND(+Q34,0)</f>
        <v>0</v>
      </c>
      <c r="F7" s="1247">
        <f>+J36</f>
        <v>0</v>
      </c>
      <c r="H7" s="256" t="s">
        <v>650</v>
      </c>
      <c r="I7" s="257"/>
      <c r="J7" s="257"/>
      <c r="K7" s="1150">
        <v>0</v>
      </c>
      <c r="L7" s="1150">
        <v>0</v>
      </c>
      <c r="M7" s="1151">
        <f>+K7-L7</f>
        <v>0</v>
      </c>
      <c r="O7" s="256" t="s">
        <v>650</v>
      </c>
      <c r="P7" s="257"/>
      <c r="Q7" s="257"/>
      <c r="R7" s="1150">
        <v>243.62</v>
      </c>
      <c r="S7" s="1150">
        <v>147.04</v>
      </c>
      <c r="T7" s="1151">
        <f>+R7-S7</f>
        <v>96.580000000000013</v>
      </c>
    </row>
    <row r="8" spans="1:22" ht="15" customHeight="1" x14ac:dyDescent="0.35">
      <c r="A8" s="999" t="s">
        <v>579</v>
      </c>
      <c r="B8" s="346">
        <v>73310</v>
      </c>
      <c r="C8" s="545">
        <v>73310</v>
      </c>
      <c r="D8" s="371">
        <f>+C8</f>
        <v>73310</v>
      </c>
      <c r="E8" s="867">
        <f>+D8</f>
        <v>73310</v>
      </c>
      <c r="F8" s="371">
        <v>77776</v>
      </c>
      <c r="G8" s="1157" t="s">
        <v>586</v>
      </c>
      <c r="H8" s="256" t="s">
        <v>655</v>
      </c>
      <c r="I8" s="257"/>
      <c r="J8" s="257"/>
      <c r="K8" s="257"/>
      <c r="L8" s="257"/>
      <c r="M8" s="1151">
        <f>+M7*26</f>
        <v>0</v>
      </c>
      <c r="N8" s="1157"/>
      <c r="O8" s="256" t="s">
        <v>655</v>
      </c>
      <c r="P8" s="257"/>
      <c r="Q8" s="257"/>
      <c r="R8" s="257"/>
      <c r="S8" s="257"/>
      <c r="T8" s="1151">
        <f>+T7*26</f>
        <v>2511.0800000000004</v>
      </c>
    </row>
    <row r="9" spans="1:22" ht="15" customHeight="1" thickBot="1" x14ac:dyDescent="0.4">
      <c r="A9" s="1303" t="s">
        <v>578</v>
      </c>
      <c r="B9" s="554">
        <v>3000</v>
      </c>
      <c r="C9" s="519">
        <v>3000</v>
      </c>
      <c r="D9" s="1221">
        <f>+T9</f>
        <v>2954</v>
      </c>
      <c r="E9" s="1175">
        <f>+T14</f>
        <v>2954</v>
      </c>
      <c r="F9" s="1221">
        <f>+M18</f>
        <v>3628</v>
      </c>
      <c r="G9" s="1159" t="str">
        <f>"      $"&amp;(74671-73310)&amp;" additional from 10 year guidelines"</f>
        <v xml:space="preserve">      $1361 additional from 10 year guidelines</v>
      </c>
      <c r="H9" s="1141" t="s">
        <v>653</v>
      </c>
      <c r="I9" s="738"/>
      <c r="J9" s="738"/>
      <c r="K9" s="738"/>
      <c r="L9" s="738"/>
      <c r="M9" s="1153">
        <f>ROUND(+M8/(1-0.15),0)</f>
        <v>0</v>
      </c>
      <c r="N9" s="1159"/>
      <c r="O9" s="1141" t="s">
        <v>653</v>
      </c>
      <c r="P9" s="738"/>
      <c r="Q9" s="738"/>
      <c r="R9" s="738"/>
      <c r="S9" s="738"/>
      <c r="T9" s="1153">
        <f>ROUND(+T8/(1-0.15),0)</f>
        <v>2954</v>
      </c>
    </row>
    <row r="10" spans="1:22" ht="15" customHeight="1" x14ac:dyDescent="0.35">
      <c r="A10" s="1328" t="s">
        <v>141</v>
      </c>
      <c r="B10" s="117">
        <f t="shared" ref="B10:E10" si="2">+B8+B9</f>
        <v>76310</v>
      </c>
      <c r="C10" s="514">
        <f t="shared" si="2"/>
        <v>76310</v>
      </c>
      <c r="D10" s="349">
        <f t="shared" si="2"/>
        <v>76264</v>
      </c>
      <c r="E10" s="349">
        <f t="shared" si="2"/>
        <v>76264</v>
      </c>
      <c r="F10" s="349">
        <f t="shared" ref="F10" si="3">+F8+F9</f>
        <v>81404</v>
      </c>
      <c r="H10" s="1145">
        <v>2027</v>
      </c>
      <c r="I10" s="290"/>
      <c r="J10" s="290"/>
      <c r="K10" s="1146"/>
      <c r="L10" s="1298"/>
      <c r="M10" s="1147"/>
      <c r="O10" s="1145">
        <v>2024</v>
      </c>
      <c r="P10" s="290"/>
      <c r="Q10" s="290"/>
      <c r="R10" s="1146"/>
      <c r="S10" s="1298"/>
      <c r="T10" s="1147"/>
    </row>
    <row r="11" spans="1:22" ht="15" customHeight="1" x14ac:dyDescent="0.35">
      <c r="A11" s="146" t="s">
        <v>417</v>
      </c>
      <c r="B11" s="555">
        <v>7.6499999999999999E-2</v>
      </c>
      <c r="C11" s="522">
        <v>7.6499999999999999E-2</v>
      </c>
      <c r="D11" s="1005">
        <f>+$B11</f>
        <v>7.6499999999999999E-2</v>
      </c>
      <c r="E11" s="1005">
        <f>+B11</f>
        <v>7.6499999999999999E-2</v>
      </c>
      <c r="F11" s="1005">
        <f>+$B11</f>
        <v>7.6499999999999999E-2</v>
      </c>
      <c r="H11" s="256" t="s">
        <v>648</v>
      </c>
      <c r="I11" s="257"/>
      <c r="J11" s="257"/>
      <c r="K11" s="1148" t="s">
        <v>649</v>
      </c>
      <c r="L11" s="1299"/>
      <c r="M11" s="1149" t="s">
        <v>652</v>
      </c>
      <c r="O11" s="256" t="s">
        <v>648</v>
      </c>
      <c r="P11" s="257"/>
      <c r="Q11" s="257"/>
      <c r="R11" s="1148" t="s">
        <v>649</v>
      </c>
      <c r="S11" s="1299"/>
      <c r="T11" s="1149" t="s">
        <v>652</v>
      </c>
    </row>
    <row r="12" spans="1:22" ht="15" customHeight="1" x14ac:dyDescent="0.35">
      <c r="A12" s="146" t="s">
        <v>229</v>
      </c>
      <c r="B12" s="108">
        <f t="shared" ref="B12:E12" si="4">ROUND(+B10*B11,0)</f>
        <v>5838</v>
      </c>
      <c r="C12" s="515">
        <f t="shared" si="4"/>
        <v>5838</v>
      </c>
      <c r="D12" s="165">
        <f t="shared" si="4"/>
        <v>5834</v>
      </c>
      <c r="E12" s="165">
        <f t="shared" si="4"/>
        <v>5834</v>
      </c>
      <c r="F12" s="165">
        <f t="shared" ref="F12" si="5">ROUND(+F10*F11,0)</f>
        <v>6227</v>
      </c>
      <c r="H12" s="256" t="s">
        <v>650</v>
      </c>
      <c r="I12" s="257"/>
      <c r="J12" s="257"/>
      <c r="K12" s="1150">
        <v>0</v>
      </c>
      <c r="L12" s="1150">
        <v>0</v>
      </c>
      <c r="M12" s="1151">
        <f>+K12-L12</f>
        <v>0</v>
      </c>
      <c r="O12" s="256" t="s">
        <v>650</v>
      </c>
      <c r="P12" s="257"/>
      <c r="Q12" s="257"/>
      <c r="R12" s="1150">
        <v>243.62</v>
      </c>
      <c r="S12" s="1150">
        <v>147.04</v>
      </c>
      <c r="T12" s="1151">
        <f>+R12-S12</f>
        <v>96.580000000000013</v>
      </c>
    </row>
    <row r="13" spans="1:22" ht="15" customHeight="1" x14ac:dyDescent="0.35">
      <c r="A13" s="1329" t="s">
        <v>143</v>
      </c>
      <c r="B13" s="119">
        <f t="shared" ref="B13:E13" si="6">+B10+B12</f>
        <v>82148</v>
      </c>
      <c r="C13" s="517">
        <f t="shared" si="6"/>
        <v>82148</v>
      </c>
      <c r="D13" s="172">
        <f t="shared" si="6"/>
        <v>82098</v>
      </c>
      <c r="E13" s="172">
        <f t="shared" si="6"/>
        <v>82098</v>
      </c>
      <c r="F13" s="172">
        <f t="shared" ref="F13" si="7">+F10+F12</f>
        <v>87631</v>
      </c>
      <c r="H13" s="256" t="s">
        <v>655</v>
      </c>
      <c r="I13" s="257"/>
      <c r="J13" s="257"/>
      <c r="K13" s="257"/>
      <c r="L13" s="257"/>
      <c r="M13" s="1151">
        <f>+M12*26</f>
        <v>0</v>
      </c>
      <c r="O13" s="256" t="s">
        <v>655</v>
      </c>
      <c r="P13" s="257"/>
      <c r="Q13" s="257"/>
      <c r="R13" s="257"/>
      <c r="S13" s="257"/>
      <c r="T13" s="1151">
        <f>+T12*26</f>
        <v>2511.0800000000004</v>
      </c>
    </row>
    <row r="14" spans="1:22" ht="15" customHeight="1" thickBot="1" x14ac:dyDescent="0.4">
      <c r="A14" s="173"/>
      <c r="B14" s="173"/>
      <c r="C14" s="173"/>
      <c r="H14" s="1141" t="s">
        <v>653</v>
      </c>
      <c r="I14" s="738"/>
      <c r="J14" s="738"/>
      <c r="K14" s="738"/>
      <c r="L14" s="738"/>
      <c r="M14" s="1153">
        <f>ROUND(+M13/(1-0.15),0)</f>
        <v>0</v>
      </c>
      <c r="O14" s="1141" t="s">
        <v>653</v>
      </c>
      <c r="P14" s="738"/>
      <c r="Q14" s="738"/>
      <c r="R14" s="738"/>
      <c r="S14" s="738"/>
      <c r="T14" s="1153">
        <f>ROUND(+T13/(1-0.15),0)</f>
        <v>2954</v>
      </c>
    </row>
    <row r="15" spans="1:22" ht="15" customHeight="1" x14ac:dyDescent="0.35">
      <c r="A15" s="174" t="s">
        <v>577</v>
      </c>
      <c r="B15" s="550">
        <v>0.1</v>
      </c>
      <c r="C15" s="533">
        <v>0.1</v>
      </c>
      <c r="D15" s="1006">
        <f>+$B15</f>
        <v>0.1</v>
      </c>
      <c r="E15" s="1006">
        <f>+$B15</f>
        <v>0.1</v>
      </c>
      <c r="F15" s="1006">
        <f>+$B15</f>
        <v>0.1</v>
      </c>
      <c r="H15" s="1145">
        <v>2026</v>
      </c>
      <c r="I15" s="290"/>
      <c r="J15" s="290"/>
      <c r="K15" s="290"/>
      <c r="L15" s="290"/>
      <c r="M15" s="886"/>
      <c r="O15" s="1152" t="s">
        <v>647</v>
      </c>
      <c r="P15" s="290"/>
      <c r="Q15" s="290"/>
      <c r="R15" s="290"/>
      <c r="S15" s="290"/>
      <c r="T15" s="886"/>
      <c r="V15" s="1135"/>
    </row>
    <row r="16" spans="1:22" ht="15" customHeight="1" x14ac:dyDescent="0.35">
      <c r="A16" s="168" t="s">
        <v>149</v>
      </c>
      <c r="B16" s="119">
        <f t="shared" ref="B16:E16" si="8">ROUND(+B13*B15,0)</f>
        <v>8215</v>
      </c>
      <c r="C16" s="517">
        <f t="shared" si="8"/>
        <v>8215</v>
      </c>
      <c r="D16" s="172">
        <f t="shared" si="8"/>
        <v>8210</v>
      </c>
      <c r="E16" s="172">
        <f t="shared" si="8"/>
        <v>8210</v>
      </c>
      <c r="F16" s="172">
        <f t="shared" ref="F16" si="9">ROUND(+F13*F15,0)</f>
        <v>8763</v>
      </c>
      <c r="H16" s="256" t="s">
        <v>656</v>
      </c>
      <c r="I16" s="257"/>
      <c r="J16" s="257"/>
      <c r="K16" s="1150">
        <v>510.84</v>
      </c>
      <c r="L16" s="1150">
        <v>253.87</v>
      </c>
      <c r="M16" s="1151">
        <f>+K16-L16</f>
        <v>256.96999999999997</v>
      </c>
      <c r="O16" s="256" t="s">
        <v>656</v>
      </c>
      <c r="P16" s="257"/>
      <c r="Q16" s="257"/>
      <c r="R16" s="1150">
        <v>245.96</v>
      </c>
      <c r="S16" s="1150">
        <v>148.63999999999999</v>
      </c>
      <c r="T16" s="1151">
        <f>+R16-S16</f>
        <v>97.320000000000022</v>
      </c>
      <c r="V16" s="1135"/>
    </row>
    <row r="17" spans="1:22" ht="15" customHeight="1" x14ac:dyDescent="0.35">
      <c r="A17" s="173"/>
      <c r="B17" s="173"/>
      <c r="C17" s="173"/>
      <c r="H17" s="256" t="s">
        <v>655</v>
      </c>
      <c r="I17" s="257"/>
      <c r="J17" s="257"/>
      <c r="K17" s="257"/>
      <c r="L17" s="257"/>
      <c r="M17" s="1151">
        <f>+M16*12</f>
        <v>3083.6399999999994</v>
      </c>
      <c r="O17" s="256" t="s">
        <v>655</v>
      </c>
      <c r="P17" s="257"/>
      <c r="Q17" s="257"/>
      <c r="R17" s="257"/>
      <c r="S17" s="257"/>
      <c r="T17" s="1151">
        <f>+T16*26</f>
        <v>2530.3200000000006</v>
      </c>
    </row>
    <row r="18" spans="1:22" ht="15" customHeight="1" thickBot="1" x14ac:dyDescent="0.4">
      <c r="A18" s="174" t="s">
        <v>151</v>
      </c>
      <c r="B18" s="111"/>
      <c r="C18" s="505"/>
      <c r="D18" s="140"/>
      <c r="E18" s="140"/>
      <c r="F18" s="140"/>
      <c r="H18" s="1141" t="s">
        <v>653</v>
      </c>
      <c r="I18" s="738"/>
      <c r="J18" s="738"/>
      <c r="K18" s="738"/>
      <c r="L18" s="738"/>
      <c r="M18" s="1153">
        <f>ROUND(+M17/(1-0.15),0)</f>
        <v>3628</v>
      </c>
      <c r="O18" s="1141" t="s">
        <v>653</v>
      </c>
      <c r="P18" s="738"/>
      <c r="Q18" s="738"/>
      <c r="R18" s="738"/>
      <c r="S18" s="738"/>
      <c r="T18" s="1153">
        <f>ROUND(+T17/(1-0.15),0)</f>
        <v>2977</v>
      </c>
    </row>
    <row r="19" spans="1:22" ht="15" customHeight="1" thickBot="1" x14ac:dyDescent="0.4">
      <c r="A19" s="153" t="s">
        <v>575</v>
      </c>
      <c r="B19" s="361">
        <v>8.9999999999999993E-3</v>
      </c>
      <c r="C19" s="539">
        <v>8.9999999999999993E-3</v>
      </c>
      <c r="D19" s="358">
        <f>+$B19</f>
        <v>8.9999999999999993E-3</v>
      </c>
      <c r="E19" s="358">
        <f>+$B19</f>
        <v>8.9999999999999993E-3</v>
      </c>
      <c r="F19" s="358">
        <f>+$B19</f>
        <v>8.9999999999999993E-3</v>
      </c>
      <c r="V19" s="1135"/>
    </row>
    <row r="20" spans="1:22" ht="15" customHeight="1" thickBot="1" x14ac:dyDescent="0.4">
      <c r="A20" s="153" t="s">
        <v>574</v>
      </c>
      <c r="B20" s="108">
        <f t="shared" ref="B20:E20" si="10">ROUND(B$13*B19,0)</f>
        <v>739</v>
      </c>
      <c r="C20" s="1010">
        <f t="shared" si="10"/>
        <v>739</v>
      </c>
      <c r="D20" s="1011">
        <f t="shared" si="10"/>
        <v>739</v>
      </c>
      <c r="E20" s="1011">
        <f t="shared" si="10"/>
        <v>739</v>
      </c>
      <c r="F20" s="1011">
        <f t="shared" ref="F20" si="11">ROUND(F$13*F19,0)</f>
        <v>789</v>
      </c>
      <c r="H20" s="1364" t="s">
        <v>124</v>
      </c>
      <c r="I20" s="1365"/>
      <c r="J20" s="1365"/>
      <c r="K20" s="1365"/>
      <c r="L20" s="1365"/>
      <c r="M20" s="1366"/>
      <c r="O20" s="1300" t="s">
        <v>124</v>
      </c>
      <c r="P20" s="1301"/>
      <c r="Q20" s="1301"/>
      <c r="R20" s="1301"/>
      <c r="S20" s="1301"/>
      <c r="T20" s="1302"/>
      <c r="V20" s="1135"/>
    </row>
    <row r="21" spans="1:22" ht="15" customHeight="1" x14ac:dyDescent="0.35">
      <c r="A21" s="153" t="s">
        <v>576</v>
      </c>
      <c r="B21" s="361">
        <v>8.0400000000000003E-3</v>
      </c>
      <c r="C21" s="539">
        <v>8.0400000000000003E-3</v>
      </c>
      <c r="D21" s="358">
        <f>+$B21</f>
        <v>8.0400000000000003E-3</v>
      </c>
      <c r="E21" s="358">
        <f>+$B21</f>
        <v>8.0400000000000003E-3</v>
      </c>
      <c r="F21" s="358">
        <f>+$B21</f>
        <v>8.0400000000000003E-3</v>
      </c>
      <c r="H21" s="1144">
        <v>2028</v>
      </c>
      <c r="I21" s="290"/>
      <c r="J21" s="290"/>
      <c r="K21" s="290" t="s">
        <v>654</v>
      </c>
      <c r="L21" s="290"/>
      <c r="M21" s="1140">
        <v>0</v>
      </c>
      <c r="O21" s="1144">
        <v>2025</v>
      </c>
      <c r="P21" s="290"/>
      <c r="Q21" s="290"/>
      <c r="R21" s="290" t="s">
        <v>654</v>
      </c>
      <c r="S21" s="290"/>
      <c r="T21" s="1140">
        <f>2967*12</f>
        <v>35604</v>
      </c>
    </row>
    <row r="22" spans="1:22" ht="15" customHeight="1" x14ac:dyDescent="0.35">
      <c r="A22" s="153" t="s">
        <v>574</v>
      </c>
      <c r="B22" s="108">
        <f t="shared" ref="B22:E22" si="12">ROUND(B$13*B21,0)</f>
        <v>660</v>
      </c>
      <c r="C22" s="1010">
        <f t="shared" si="12"/>
        <v>660</v>
      </c>
      <c r="D22" s="1011">
        <f t="shared" si="12"/>
        <v>660</v>
      </c>
      <c r="E22" s="1011">
        <f t="shared" si="12"/>
        <v>660</v>
      </c>
      <c r="F22" s="1011">
        <f t="shared" ref="F22" si="13">ROUND(F$13*F21,0)</f>
        <v>705</v>
      </c>
      <c r="H22" s="1137" t="s">
        <v>641</v>
      </c>
      <c r="I22" s="257"/>
      <c r="J22" s="1154">
        <f>ROUNDUP(SUM(J23:J26)+SUM(M23:M26),-2)</f>
        <v>0</v>
      </c>
      <c r="K22" s="257" t="s">
        <v>670</v>
      </c>
      <c r="L22" s="257"/>
      <c r="M22" s="1174"/>
      <c r="O22" s="1137" t="s">
        <v>641</v>
      </c>
      <c r="P22" s="257"/>
      <c r="Q22" s="1154">
        <f>ROUNDUP(SUM(Q23:Q26)+SUM(T23:T26),-2)</f>
        <v>35400</v>
      </c>
      <c r="R22" s="257" t="s">
        <v>670</v>
      </c>
      <c r="S22" s="257"/>
      <c r="T22" s="1174"/>
    </row>
    <row r="23" spans="1:22" ht="15" customHeight="1" x14ac:dyDescent="0.35">
      <c r="A23" s="129" t="s">
        <v>153</v>
      </c>
      <c r="B23" s="119">
        <f t="shared" ref="B23:E23" si="14">+B20+B22</f>
        <v>1399</v>
      </c>
      <c r="C23" s="517">
        <f t="shared" si="14"/>
        <v>1399</v>
      </c>
      <c r="D23" s="172">
        <f t="shared" si="14"/>
        <v>1399</v>
      </c>
      <c r="E23" s="172">
        <f t="shared" si="14"/>
        <v>1399</v>
      </c>
      <c r="F23" s="172">
        <f t="shared" ref="F23" si="15">+F20+F22</f>
        <v>1494</v>
      </c>
      <c r="H23" s="256" t="s">
        <v>642</v>
      </c>
      <c r="I23" s="257"/>
      <c r="J23" s="1139">
        <v>0</v>
      </c>
      <c r="K23" s="257" t="s">
        <v>756</v>
      </c>
      <c r="L23" s="257"/>
      <c r="M23" s="1140">
        <v>0</v>
      </c>
      <c r="O23" s="256" t="s">
        <v>642</v>
      </c>
      <c r="P23" s="257"/>
      <c r="Q23" s="1139">
        <v>23340</v>
      </c>
      <c r="R23" s="257" t="s">
        <v>756</v>
      </c>
      <c r="S23" s="257"/>
      <c r="T23" s="1140">
        <f>130*12</f>
        <v>1560</v>
      </c>
    </row>
    <row r="24" spans="1:22" ht="15" customHeight="1" x14ac:dyDescent="0.35">
      <c r="H24" s="256" t="s">
        <v>643</v>
      </c>
      <c r="I24" s="257"/>
      <c r="J24" s="1139">
        <v>0</v>
      </c>
      <c r="K24" s="1363" t="s">
        <v>757</v>
      </c>
      <c r="L24" s="1363"/>
      <c r="M24" s="1140">
        <v>0</v>
      </c>
      <c r="O24" s="256" t="s">
        <v>643</v>
      </c>
      <c r="P24" s="257"/>
      <c r="Q24" s="1139">
        <v>6213.36</v>
      </c>
      <c r="R24" s="1297" t="s">
        <v>757</v>
      </c>
      <c r="S24" s="1297"/>
      <c r="T24" s="1140">
        <v>1878.44</v>
      </c>
    </row>
    <row r="25" spans="1:22" ht="15" customHeight="1" x14ac:dyDescent="0.35">
      <c r="A25" s="120" t="s">
        <v>98</v>
      </c>
      <c r="B25" s="191"/>
      <c r="C25" s="542"/>
      <c r="D25" s="350"/>
      <c r="E25" s="350"/>
      <c r="F25" s="350"/>
      <c r="H25" s="256" t="s">
        <v>56</v>
      </c>
      <c r="I25" s="257"/>
      <c r="J25" s="1139">
        <v>0</v>
      </c>
      <c r="K25" s="1512" t="s">
        <v>728</v>
      </c>
      <c r="L25" s="1512"/>
      <c r="M25" s="1140">
        <v>0</v>
      </c>
      <c r="O25" s="256" t="s">
        <v>56</v>
      </c>
      <c r="P25" s="257"/>
      <c r="Q25" s="1139">
        <f>174*12</f>
        <v>2088</v>
      </c>
      <c r="R25" s="1512" t="s">
        <v>728</v>
      </c>
      <c r="S25" s="1512"/>
      <c r="T25" s="1140">
        <v>0</v>
      </c>
    </row>
    <row r="26" spans="1:22" ht="15" customHeight="1" thickBot="1" x14ac:dyDescent="0.4">
      <c r="A26" s="123" t="s">
        <v>158</v>
      </c>
      <c r="B26" s="192">
        <v>1500</v>
      </c>
      <c r="C26" s="541">
        <v>1500</v>
      </c>
      <c r="D26" s="351">
        <f>+B26</f>
        <v>1500</v>
      </c>
      <c r="E26" s="351">
        <f>+C26</f>
        <v>1500</v>
      </c>
      <c r="F26" s="351">
        <f>+D26</f>
        <v>1500</v>
      </c>
      <c r="H26" s="1141" t="s">
        <v>755</v>
      </c>
      <c r="I26" s="738"/>
      <c r="J26" s="1223">
        <v>0</v>
      </c>
      <c r="K26" s="1526"/>
      <c r="L26" s="1526"/>
      <c r="M26" s="1142"/>
      <c r="O26" s="1141" t="s">
        <v>755</v>
      </c>
      <c r="P26" s="738"/>
      <c r="Q26" s="1223">
        <v>300</v>
      </c>
      <c r="R26" s="1526"/>
      <c r="S26" s="1526"/>
      <c r="T26" s="1142"/>
    </row>
    <row r="27" spans="1:22" ht="15" customHeight="1" thickBot="1" x14ac:dyDescent="0.4">
      <c r="A27" s="123" t="s">
        <v>584</v>
      </c>
      <c r="B27" s="192">
        <v>1300</v>
      </c>
      <c r="C27" s="541">
        <v>1300</v>
      </c>
      <c r="D27" s="351">
        <f t="shared" ref="D27:F28" si="16">+B27</f>
        <v>1300</v>
      </c>
      <c r="E27" s="351">
        <f t="shared" si="16"/>
        <v>1300</v>
      </c>
      <c r="F27" s="351">
        <f t="shared" si="16"/>
        <v>1300</v>
      </c>
      <c r="H27" s="1364" t="s">
        <v>124</v>
      </c>
      <c r="I27" s="1365"/>
      <c r="J27" s="1365"/>
      <c r="K27" s="1365"/>
      <c r="L27" s="1365"/>
      <c r="M27" s="1366"/>
    </row>
    <row r="28" spans="1:22" ht="15" customHeight="1" x14ac:dyDescent="0.35">
      <c r="A28" s="123" t="s">
        <v>98</v>
      </c>
      <c r="B28" s="192">
        <v>600</v>
      </c>
      <c r="C28" s="541">
        <v>600</v>
      </c>
      <c r="D28" s="351">
        <f t="shared" si="16"/>
        <v>600</v>
      </c>
      <c r="E28" s="351">
        <f t="shared" si="16"/>
        <v>600</v>
      </c>
      <c r="F28" s="351">
        <f t="shared" si="16"/>
        <v>600</v>
      </c>
      <c r="H28" s="1144">
        <v>2027</v>
      </c>
      <c r="I28" s="290"/>
      <c r="J28" s="290"/>
      <c r="K28" s="290" t="s">
        <v>654</v>
      </c>
      <c r="L28" s="290"/>
      <c r="M28" s="1140">
        <v>0</v>
      </c>
    </row>
    <row r="29" spans="1:22" ht="15" customHeight="1" x14ac:dyDescent="0.35">
      <c r="A29" s="134" t="s">
        <v>160</v>
      </c>
      <c r="B29" s="193">
        <f t="shared" ref="B29:E29" si="17">+SUM(B26:B28)</f>
        <v>3400</v>
      </c>
      <c r="C29" s="543">
        <f t="shared" si="17"/>
        <v>3400</v>
      </c>
      <c r="D29" s="352">
        <f t="shared" si="17"/>
        <v>3400</v>
      </c>
      <c r="E29" s="352">
        <f t="shared" si="17"/>
        <v>3400</v>
      </c>
      <c r="F29" s="352">
        <f t="shared" ref="F29" si="18">+SUM(F26:F28)</f>
        <v>3400</v>
      </c>
      <c r="H29" s="1137" t="s">
        <v>641</v>
      </c>
      <c r="I29" s="257"/>
      <c r="J29" s="1154">
        <f>ROUNDUP(SUM(J30:J33)+SUM(M30:M33),-2)</f>
        <v>0</v>
      </c>
      <c r="K29" s="257" t="s">
        <v>670</v>
      </c>
      <c r="L29" s="257"/>
      <c r="M29" s="1174"/>
    </row>
    <row r="30" spans="1:22" ht="15" customHeight="1" thickBot="1" x14ac:dyDescent="0.4">
      <c r="H30" s="256" t="s">
        <v>642</v>
      </c>
      <c r="I30" s="257"/>
      <c r="J30" s="1139">
        <v>0</v>
      </c>
      <c r="K30" s="257" t="s">
        <v>756</v>
      </c>
      <c r="L30" s="257"/>
      <c r="M30" s="1140">
        <v>0</v>
      </c>
    </row>
    <row r="31" spans="1:22" ht="15" customHeight="1" thickBot="1" x14ac:dyDescent="0.4">
      <c r="A31" s="938" t="s">
        <v>704</v>
      </c>
      <c r="B31" s="1333">
        <f t="shared" ref="B31:E31" si="19">+B13+B16+B23+B29</f>
        <v>95162</v>
      </c>
      <c r="C31" s="1331">
        <f t="shared" si="19"/>
        <v>95162</v>
      </c>
      <c r="D31" s="1332">
        <f t="shared" si="19"/>
        <v>95107</v>
      </c>
      <c r="E31" s="1007">
        <f t="shared" si="19"/>
        <v>95107</v>
      </c>
      <c r="F31" s="1332">
        <f t="shared" ref="F31" si="20">+F13+F16+F23+F29</f>
        <v>101288</v>
      </c>
      <c r="H31" s="256" t="s">
        <v>643</v>
      </c>
      <c r="I31" s="257"/>
      <c r="J31" s="1139">
        <v>0</v>
      </c>
      <c r="K31" s="1363" t="s">
        <v>757</v>
      </c>
      <c r="L31" s="1363"/>
      <c r="M31" s="1140">
        <v>0</v>
      </c>
      <c r="O31" s="257"/>
      <c r="P31" s="257"/>
      <c r="Q31" s="257"/>
      <c r="R31" s="257"/>
      <c r="S31" s="257"/>
      <c r="T31" s="257"/>
      <c r="U31" s="257"/>
    </row>
    <row r="32" spans="1:22" ht="15" customHeight="1" x14ac:dyDescent="0.35">
      <c r="A32" s="196" t="s">
        <v>580</v>
      </c>
      <c r="B32" s="546"/>
      <c r="C32" s="546"/>
      <c r="D32" s="1008">
        <f>(+D31-B31)/B31</f>
        <v>-5.779617914713856E-4</v>
      </c>
      <c r="E32" s="1008">
        <f>(+E31-B31)/B31</f>
        <v>-5.779617914713856E-4</v>
      </c>
      <c r="F32" s="1008">
        <f>(+F31-D31)/D31</f>
        <v>6.4989958678120435E-2</v>
      </c>
      <c r="H32" s="256" t="s">
        <v>56</v>
      </c>
      <c r="I32" s="257"/>
      <c r="J32" s="1139">
        <v>0</v>
      </c>
      <c r="K32" s="1512" t="s">
        <v>728</v>
      </c>
      <c r="L32" s="1512"/>
      <c r="M32" s="1140">
        <v>0</v>
      </c>
      <c r="O32" s="257"/>
      <c r="P32" s="257"/>
      <c r="Q32" s="257"/>
      <c r="R32" s="257"/>
      <c r="S32" s="257"/>
      <c r="T32" s="257"/>
      <c r="U32" s="257"/>
    </row>
    <row r="33" spans="1:21" ht="15" thickBot="1" x14ac:dyDescent="0.4">
      <c r="A33" s="257"/>
      <c r="H33" s="1141" t="s">
        <v>755</v>
      </c>
      <c r="I33" s="738"/>
      <c r="J33" s="1223">
        <v>0</v>
      </c>
      <c r="K33" s="1526"/>
      <c r="L33" s="1526"/>
      <c r="M33" s="1142"/>
      <c r="O33" s="1327"/>
      <c r="P33" s="154"/>
      <c r="Q33" s="154"/>
      <c r="R33" s="154"/>
      <c r="S33" s="154"/>
      <c r="T33" s="1245"/>
      <c r="U33" s="257"/>
    </row>
    <row r="34" spans="1:21" s="173" customFormat="1" ht="15" thickBot="1" x14ac:dyDescent="0.4">
      <c r="A34" s="154" t="s">
        <v>582</v>
      </c>
      <c r="H34" s="1364" t="s">
        <v>124</v>
      </c>
      <c r="I34" s="1365"/>
      <c r="J34" s="1365"/>
      <c r="K34" s="1365"/>
      <c r="L34" s="1365"/>
      <c r="M34" s="1366"/>
      <c r="O34" s="196"/>
      <c r="P34" s="154"/>
      <c r="Q34" s="1244"/>
      <c r="R34" s="154"/>
      <c r="S34" s="154"/>
      <c r="T34" s="154"/>
      <c r="U34" s="154"/>
    </row>
    <row r="35" spans="1:21" s="173" customFormat="1" x14ac:dyDescent="0.35">
      <c r="A35" s="154" t="s">
        <v>698</v>
      </c>
      <c r="H35" s="1144">
        <v>2026</v>
      </c>
      <c r="I35" s="290"/>
      <c r="J35" s="290"/>
      <c r="K35" s="290" t="s">
        <v>654</v>
      </c>
      <c r="L35" s="290"/>
      <c r="M35" s="1140">
        <v>0</v>
      </c>
      <c r="O35" s="154"/>
      <c r="P35" s="154"/>
      <c r="Q35" s="1245"/>
      <c r="R35" s="154"/>
      <c r="S35" s="154"/>
      <c r="T35" s="1245"/>
    </row>
    <row r="36" spans="1:21" s="173" customFormat="1" x14ac:dyDescent="0.35">
      <c r="A36" s="154"/>
      <c r="H36" s="1137" t="s">
        <v>641</v>
      </c>
      <c r="I36" s="257"/>
      <c r="J36" s="1154">
        <f>ROUNDUP(SUM(J37:J40)+SUM(M37:M40),-2)</f>
        <v>0</v>
      </c>
      <c r="K36" s="257" t="s">
        <v>670</v>
      </c>
      <c r="L36" s="257"/>
      <c r="M36" s="1174"/>
      <c r="O36" s="154"/>
      <c r="P36" s="154"/>
      <c r="Q36" s="1245"/>
      <c r="R36" s="154"/>
      <c r="S36" s="154"/>
      <c r="T36" s="1245"/>
    </row>
    <row r="37" spans="1:21" s="173" customFormat="1" x14ac:dyDescent="0.35">
      <c r="A37" s="154"/>
      <c r="H37" s="256" t="s">
        <v>642</v>
      </c>
      <c r="I37" s="257"/>
      <c r="J37" s="1139">
        <v>0</v>
      </c>
      <c r="K37" s="257" t="s">
        <v>756</v>
      </c>
      <c r="L37" s="257"/>
      <c r="M37" s="1140">
        <v>0</v>
      </c>
      <c r="O37" s="154"/>
      <c r="P37" s="154"/>
      <c r="Q37" s="1245"/>
      <c r="R37" s="154"/>
      <c r="S37" s="154"/>
      <c r="T37" s="1245"/>
    </row>
    <row r="38" spans="1:21" s="173" customFormat="1" x14ac:dyDescent="0.35">
      <c r="A38" s="154"/>
      <c r="H38" s="256" t="s">
        <v>643</v>
      </c>
      <c r="I38" s="257"/>
      <c r="J38" s="1139">
        <v>0</v>
      </c>
      <c r="K38" s="1363" t="s">
        <v>757</v>
      </c>
      <c r="L38" s="1363"/>
      <c r="M38" s="1140">
        <v>0</v>
      </c>
      <c r="O38" s="154"/>
      <c r="P38" s="154"/>
      <c r="Q38" s="1245"/>
      <c r="R38" s="154"/>
      <c r="S38" s="154"/>
      <c r="T38" s="1245"/>
    </row>
    <row r="39" spans="1:21" s="173" customFormat="1" x14ac:dyDescent="0.35">
      <c r="A39" s="154"/>
      <c r="H39" s="256" t="s">
        <v>56</v>
      </c>
      <c r="I39" s="257"/>
      <c r="J39" s="1139">
        <v>0</v>
      </c>
      <c r="K39" s="1512" t="s">
        <v>728</v>
      </c>
      <c r="L39" s="1512"/>
      <c r="M39" s="1140">
        <v>0</v>
      </c>
      <c r="O39" s="154"/>
      <c r="P39" s="154"/>
      <c r="Q39" s="1245"/>
      <c r="R39" s="154"/>
      <c r="S39" s="154"/>
      <c r="T39" s="1245"/>
    </row>
    <row r="40" spans="1:21" s="173" customFormat="1" ht="15" thickBot="1" x14ac:dyDescent="0.4">
      <c r="A40" s="154"/>
      <c r="H40" s="1141" t="s">
        <v>755</v>
      </c>
      <c r="I40" s="738"/>
      <c r="J40" s="1223">
        <v>0</v>
      </c>
      <c r="K40" s="1526"/>
      <c r="L40" s="1526"/>
      <c r="M40" s="1142"/>
      <c r="O40" s="154"/>
      <c r="P40" s="154"/>
      <c r="Q40" s="1245"/>
      <c r="R40" s="154"/>
      <c r="S40" s="154"/>
      <c r="T40" s="1245"/>
    </row>
    <row r="41" spans="1:21" s="173" customFormat="1" x14ac:dyDescent="0.35">
      <c r="A41" s="154"/>
      <c r="H41" s="1381"/>
      <c r="I41" s="291"/>
      <c r="J41" s="291"/>
      <c r="K41" s="291"/>
      <c r="L41" s="291"/>
      <c r="M41" s="1382"/>
      <c r="O41" s="154"/>
      <c r="P41" s="154"/>
      <c r="Q41" s="1245"/>
      <c r="R41" s="154"/>
      <c r="S41" s="154"/>
      <c r="T41" s="1245"/>
    </row>
    <row r="42" spans="1:21" s="173" customFormat="1" x14ac:dyDescent="0.35">
      <c r="A42" s="154"/>
      <c r="H42" s="1327"/>
      <c r="I42" s="154"/>
      <c r="J42" s="154"/>
      <c r="K42" s="154"/>
      <c r="L42" s="154"/>
      <c r="M42" s="1245"/>
      <c r="O42" s="154"/>
      <c r="P42" s="154"/>
      <c r="Q42" s="1245"/>
      <c r="R42" s="154"/>
      <c r="S42" s="154"/>
      <c r="T42" s="1245"/>
    </row>
    <row r="43" spans="1:21" s="173" customFormat="1" x14ac:dyDescent="0.35">
      <c r="A43" s="154"/>
      <c r="H43" s="1327"/>
      <c r="I43" s="154"/>
      <c r="J43" s="154"/>
      <c r="K43" s="154"/>
      <c r="L43" s="154"/>
      <c r="M43" s="1245"/>
      <c r="O43" s="154"/>
      <c r="P43" s="154"/>
      <c r="Q43" s="1245"/>
      <c r="R43" s="154"/>
      <c r="S43" s="154"/>
      <c r="T43" s="1245"/>
    </row>
    <row r="44" spans="1:21" s="173" customFormat="1" x14ac:dyDescent="0.35">
      <c r="A44" s="154"/>
      <c r="H44" s="1327"/>
      <c r="I44" s="154"/>
      <c r="J44" s="154"/>
      <c r="K44" s="154"/>
      <c r="L44" s="154"/>
      <c r="M44" s="1245"/>
      <c r="O44" s="154"/>
      <c r="P44" s="154"/>
      <c r="Q44" s="1245"/>
      <c r="R44" s="154"/>
      <c r="S44" s="154"/>
      <c r="T44" s="1245"/>
    </row>
    <row r="45" spans="1:21" s="173" customFormat="1" x14ac:dyDescent="0.35">
      <c r="A45" s="154"/>
      <c r="H45" s="1327"/>
      <c r="I45" s="154"/>
      <c r="J45" s="154"/>
      <c r="K45" s="154"/>
      <c r="L45" s="154"/>
      <c r="M45" s="1245"/>
      <c r="O45" s="154"/>
      <c r="P45" s="154"/>
      <c r="Q45" s="1245"/>
      <c r="R45" s="154"/>
      <c r="S45" s="154"/>
      <c r="T45" s="1245"/>
    </row>
    <row r="46" spans="1:21" s="173" customFormat="1" x14ac:dyDescent="0.35">
      <c r="A46" s="154"/>
      <c r="H46" s="1327"/>
      <c r="I46" s="154"/>
      <c r="J46" s="154"/>
      <c r="K46" s="154"/>
      <c r="L46" s="154"/>
      <c r="M46" s="1245"/>
      <c r="O46" s="154"/>
      <c r="P46" s="154"/>
      <c r="Q46" s="1245"/>
      <c r="R46" s="154"/>
      <c r="S46" s="154"/>
      <c r="T46" s="1245"/>
    </row>
    <row r="47" spans="1:21" x14ac:dyDescent="0.35">
      <c r="A47" s="257"/>
      <c r="B47" s="194"/>
      <c r="C47" s="194"/>
      <c r="D47" s="1009"/>
      <c r="E47" s="1009"/>
      <c r="F47" s="1009"/>
      <c r="H47" s="196"/>
      <c r="I47" s="154"/>
      <c r="J47" s="1244"/>
      <c r="K47" s="154"/>
      <c r="L47" s="154"/>
      <c r="M47" s="711"/>
      <c r="O47" s="154"/>
      <c r="P47" s="154"/>
      <c r="Q47" s="1245"/>
      <c r="R47" s="154"/>
      <c r="S47" s="154"/>
      <c r="T47" s="1245"/>
    </row>
    <row r="48" spans="1:21" ht="18.5" hidden="1" customHeight="1" x14ac:dyDescent="0.35">
      <c r="A48" s="754" t="s">
        <v>420</v>
      </c>
      <c r="H48" s="154"/>
      <c r="I48" s="154"/>
      <c r="J48" s="1245"/>
      <c r="K48" s="154"/>
      <c r="L48" s="154"/>
      <c r="M48" s="1245"/>
      <c r="O48" s="154"/>
      <c r="P48" s="154"/>
      <c r="Q48" s="1245"/>
      <c r="R48" s="1527"/>
      <c r="S48" s="1527"/>
      <c r="T48" s="1245"/>
    </row>
    <row r="49" spans="1:20" ht="15" hidden="1" customHeight="1" thickBot="1" x14ac:dyDescent="0.4">
      <c r="A49" s="738"/>
      <c r="B49" s="738"/>
      <c r="H49" s="154"/>
      <c r="I49" s="154"/>
      <c r="J49" s="1245"/>
      <c r="K49" s="1380"/>
      <c r="L49" s="1380"/>
      <c r="M49" s="1245"/>
      <c r="O49" s="154"/>
      <c r="P49" s="154"/>
      <c r="Q49" s="154"/>
      <c r="R49" s="1527"/>
      <c r="S49" s="1527"/>
      <c r="T49" s="154"/>
    </row>
    <row r="50" spans="1:20" ht="14.5" hidden="1" customHeight="1" x14ac:dyDescent="0.35">
      <c r="A50" s="736" t="s">
        <v>559</v>
      </c>
      <c r="B50" s="739" t="s">
        <v>421</v>
      </c>
      <c r="H50" s="154"/>
      <c r="I50" s="154"/>
      <c r="J50" s="1245"/>
      <c r="K50" s="1528"/>
      <c r="L50" s="1528"/>
      <c r="M50" s="1245"/>
      <c r="O50" s="1246"/>
      <c r="P50" s="895"/>
      <c r="Q50" s="895"/>
      <c r="R50" s="257"/>
      <c r="S50" s="257"/>
      <c r="T50" s="257"/>
    </row>
    <row r="51" spans="1:20" ht="14.5" hidden="1" customHeight="1" x14ac:dyDescent="0.35">
      <c r="H51" s="154"/>
      <c r="I51" s="154"/>
      <c r="J51" s="1245"/>
      <c r="K51" s="1528"/>
      <c r="L51" s="1528"/>
      <c r="M51" s="154"/>
      <c r="O51" s="895"/>
      <c r="P51" s="895"/>
      <c r="Q51" s="1154"/>
      <c r="R51" s="257"/>
      <c r="S51" s="257"/>
      <c r="T51" s="257"/>
    </row>
    <row r="52" spans="1:20" ht="15" hidden="1" thickBot="1" x14ac:dyDescent="0.4">
      <c r="A52" s="738"/>
      <c r="B52" s="738"/>
      <c r="H52" s="154"/>
      <c r="I52" s="154"/>
      <c r="J52" s="1245"/>
      <c r="K52" s="154"/>
      <c r="L52" s="154"/>
      <c r="M52" s="1245"/>
      <c r="O52" s="257"/>
      <c r="P52" s="257"/>
      <c r="Q52" s="1139"/>
      <c r="R52" s="257"/>
      <c r="S52" s="257"/>
      <c r="T52" s="1139"/>
    </row>
    <row r="53" spans="1:20" hidden="1" x14ac:dyDescent="0.35">
      <c r="A53" s="736" t="s">
        <v>587</v>
      </c>
      <c r="B53" s="739" t="s">
        <v>421</v>
      </c>
      <c r="H53" s="154"/>
      <c r="I53" s="154"/>
      <c r="J53" s="1245"/>
      <c r="K53" s="154"/>
      <c r="L53" s="154"/>
      <c r="M53" s="1245"/>
      <c r="O53" s="257"/>
      <c r="P53" s="257"/>
      <c r="Q53" s="1139"/>
      <c r="R53" s="257"/>
      <c r="S53" s="257"/>
      <c r="T53" s="1139"/>
    </row>
    <row r="54" spans="1:20" ht="14.5" hidden="1" customHeight="1" x14ac:dyDescent="0.35">
      <c r="H54" s="154"/>
      <c r="I54" s="154"/>
      <c r="J54" s="1245"/>
      <c r="K54" s="1527"/>
      <c r="L54" s="1527"/>
      <c r="M54" s="1245"/>
      <c r="O54" s="257"/>
      <c r="P54" s="257"/>
      <c r="Q54" s="1139"/>
      <c r="R54" s="1514"/>
      <c r="S54" s="1514"/>
      <c r="T54" s="1139"/>
    </row>
    <row r="55" spans="1:20" ht="15" hidden="1" thickBot="1" x14ac:dyDescent="0.4">
      <c r="A55" s="738"/>
      <c r="B55" s="738"/>
      <c r="H55" s="154"/>
      <c r="I55" s="154"/>
      <c r="J55" s="154"/>
      <c r="K55" s="1527"/>
      <c r="L55" s="1527"/>
      <c r="M55" s="154"/>
      <c r="O55" s="257"/>
      <c r="P55" s="257"/>
      <c r="Q55" s="257"/>
      <c r="R55" s="1514"/>
      <c r="S55" s="1514"/>
      <c r="T55" s="257"/>
    </row>
    <row r="56" spans="1:20" ht="29" hidden="1" x14ac:dyDescent="0.35">
      <c r="A56" s="752" t="s">
        <v>588</v>
      </c>
      <c r="B56" s="739" t="s">
        <v>421</v>
      </c>
      <c r="H56" s="154"/>
      <c r="I56" s="154"/>
      <c r="J56" s="154"/>
      <c r="K56" s="154"/>
      <c r="L56" s="154"/>
      <c r="M56" s="154"/>
      <c r="O56" s="154"/>
      <c r="P56" s="154"/>
      <c r="Q56" s="154"/>
      <c r="R56" s="154"/>
      <c r="S56" s="154"/>
      <c r="T56" s="154"/>
    </row>
    <row r="57" spans="1:20" x14ac:dyDescent="0.35">
      <c r="H57" s="154"/>
      <c r="I57" s="154"/>
      <c r="J57" s="154"/>
      <c r="K57" s="154"/>
      <c r="L57" s="154"/>
      <c r="M57" s="154"/>
      <c r="O57" s="173"/>
      <c r="P57" s="173"/>
      <c r="Q57" s="173"/>
      <c r="R57" s="173"/>
      <c r="S57" s="173"/>
      <c r="T57" s="173"/>
    </row>
    <row r="58" spans="1:20" x14ac:dyDescent="0.35">
      <c r="H58" s="154"/>
      <c r="I58" s="154"/>
      <c r="J58" s="154"/>
      <c r="K58" s="154"/>
      <c r="L58" s="154"/>
      <c r="M58" s="154"/>
    </row>
    <row r="59" spans="1:20" x14ac:dyDescent="0.35">
      <c r="H59" s="154"/>
      <c r="I59" s="154"/>
      <c r="J59" s="154"/>
      <c r="K59" s="154"/>
      <c r="L59" s="154"/>
      <c r="M59" s="154"/>
    </row>
    <row r="60" spans="1:20" x14ac:dyDescent="0.35">
      <c r="H60" s="154"/>
      <c r="I60" s="154"/>
      <c r="J60" s="154"/>
      <c r="K60" s="154"/>
      <c r="L60" s="154"/>
      <c r="M60" s="154"/>
    </row>
  </sheetData>
  <mergeCells count="15">
    <mergeCell ref="R54:S55"/>
    <mergeCell ref="R48:S49"/>
    <mergeCell ref="R25:S25"/>
    <mergeCell ref="R26:S26"/>
    <mergeCell ref="O4:T4"/>
    <mergeCell ref="H4:M4"/>
    <mergeCell ref="K25:L25"/>
    <mergeCell ref="K26:L26"/>
    <mergeCell ref="K54:L55"/>
    <mergeCell ref="K32:L32"/>
    <mergeCell ref="K33:L33"/>
    <mergeCell ref="K50:L50"/>
    <mergeCell ref="K51:L51"/>
    <mergeCell ref="K39:L39"/>
    <mergeCell ref="K40:L40"/>
  </mergeCells>
  <pageMargins left="0" right="0" top="0.5" bottom="0" header="0.3" footer="0.3"/>
  <pageSetup scale="95" orientation="landscape" horizontalDpi="4294967293" verticalDpi="0" r:id="rId1"/>
  <headerFooter>
    <oddFooter>&amp;R&amp;D</oddFooter>
  </headerFooter>
  <rowBreaks count="1" manualBreakCount="1">
    <brk id="17"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topLeftCell="A9" workbookViewId="0">
      <selection activeCell="B26" sqref="B26"/>
    </sheetView>
  </sheetViews>
  <sheetFormatPr defaultRowHeight="15.5" x14ac:dyDescent="0.35"/>
  <cols>
    <col min="1" max="16384" width="8.7265625" style="1155"/>
  </cols>
  <sheetData>
    <row r="3" spans="1:10" ht="20" x14ac:dyDescent="0.4">
      <c r="A3" s="1524" t="s">
        <v>79</v>
      </c>
      <c r="B3" s="1524"/>
      <c r="C3" s="1524"/>
      <c r="D3" s="1524"/>
      <c r="E3" s="1524"/>
      <c r="F3" s="1524"/>
      <c r="G3" s="1524"/>
      <c r="H3" s="1524"/>
      <c r="I3" s="1524"/>
      <c r="J3" s="1524"/>
    </row>
    <row r="4" spans="1:10" x14ac:dyDescent="0.35">
      <c r="A4" s="1525" t="s">
        <v>841</v>
      </c>
      <c r="B4" s="1525"/>
      <c r="C4" s="1525"/>
      <c r="D4" s="1525"/>
      <c r="E4" s="1525"/>
      <c r="F4" s="1525"/>
      <c r="G4" s="1525"/>
      <c r="H4" s="1525"/>
      <c r="I4" s="1525"/>
      <c r="J4" s="1525"/>
    </row>
    <row r="7" spans="1:10" x14ac:dyDescent="0.35">
      <c r="A7" s="1155" t="s">
        <v>668</v>
      </c>
    </row>
    <row r="8" spans="1:10" x14ac:dyDescent="0.35">
      <c r="A8" s="1155" t="s">
        <v>658</v>
      </c>
    </row>
    <row r="9" spans="1:10" x14ac:dyDescent="0.35">
      <c r="A9" s="1155" t="s">
        <v>669</v>
      </c>
    </row>
    <row r="10" spans="1:10" x14ac:dyDescent="0.35">
      <c r="A10" s="1155" t="s">
        <v>662</v>
      </c>
    </row>
    <row r="11" spans="1:10" x14ac:dyDescent="0.35">
      <c r="A11" s="1155" t="s">
        <v>672</v>
      </c>
    </row>
    <row r="12" spans="1:10" x14ac:dyDescent="0.35">
      <c r="B12" s="1155" t="s">
        <v>659</v>
      </c>
    </row>
    <row r="13" spans="1:10" x14ac:dyDescent="0.35">
      <c r="B13" s="1155" t="s">
        <v>660</v>
      </c>
    </row>
    <row r="14" spans="1:10" x14ac:dyDescent="0.35">
      <c r="B14" s="1155" t="s">
        <v>661</v>
      </c>
    </row>
    <row r="16" spans="1:10" x14ac:dyDescent="0.35">
      <c r="A16" s="1155" t="s">
        <v>666</v>
      </c>
    </row>
    <row r="17" spans="1:2" x14ac:dyDescent="0.35">
      <c r="A17" s="1155" t="s">
        <v>663</v>
      </c>
    </row>
    <row r="18" spans="1:2" x14ac:dyDescent="0.35">
      <c r="A18" s="1155" t="s">
        <v>830</v>
      </c>
    </row>
    <row r="19" spans="1:2" x14ac:dyDescent="0.35">
      <c r="A19" s="1155" t="s">
        <v>664</v>
      </c>
    </row>
    <row r="20" spans="1:2" x14ac:dyDescent="0.35">
      <c r="A20" s="1155" t="s">
        <v>665</v>
      </c>
    </row>
    <row r="21" spans="1:2" x14ac:dyDescent="0.35">
      <c r="B21" s="1160" t="s">
        <v>842</v>
      </c>
    </row>
    <row r="22" spans="1:2" x14ac:dyDescent="0.35">
      <c r="B22" s="1155" t="s">
        <v>831</v>
      </c>
    </row>
    <row r="24" spans="1:2" x14ac:dyDescent="0.35">
      <c r="B24" s="1155" t="s">
        <v>667</v>
      </c>
    </row>
    <row r="25" spans="1:2" x14ac:dyDescent="0.35">
      <c r="B25" s="1155" t="s">
        <v>832</v>
      </c>
    </row>
  </sheetData>
  <mergeCells count="2">
    <mergeCell ref="A3:J3"/>
    <mergeCell ref="A4:J4"/>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529" t="s">
        <v>705</v>
      </c>
      <c r="B1" s="1529"/>
    </row>
    <row r="3" spans="1:3" x14ac:dyDescent="0.35">
      <c r="A3" s="109" t="s">
        <v>695</v>
      </c>
      <c r="B3" s="733"/>
    </row>
    <row r="4" spans="1:3" x14ac:dyDescent="0.35">
      <c r="A4" s="752"/>
      <c r="B4" s="997" t="s">
        <v>697</v>
      </c>
    </row>
    <row r="5" spans="1:3" x14ac:dyDescent="0.35">
      <c r="A5" s="752"/>
      <c r="B5" s="777"/>
    </row>
    <row r="6" spans="1:3" x14ac:dyDescent="0.35">
      <c r="A6" s="999" t="s">
        <v>35</v>
      </c>
      <c r="B6" s="112">
        <f t="shared" ref="B6" si="0">+B8-B7</f>
        <v>53310</v>
      </c>
    </row>
    <row r="7" spans="1:3" ht="15" thickBot="1" x14ac:dyDescent="0.4">
      <c r="A7" s="141" t="s">
        <v>124</v>
      </c>
      <c r="B7" s="114">
        <v>20000</v>
      </c>
    </row>
    <row r="8" spans="1:3" x14ac:dyDescent="0.35">
      <c r="A8" s="141" t="s">
        <v>579</v>
      </c>
      <c r="B8" s="346">
        <v>73310</v>
      </c>
      <c r="C8" s="949" t="s">
        <v>592</v>
      </c>
    </row>
    <row r="9" spans="1:3" x14ac:dyDescent="0.35">
      <c r="A9" s="1187" t="s">
        <v>578</v>
      </c>
      <c r="B9" s="554">
        <f>+C9*12</f>
        <v>2695.92</v>
      </c>
      <c r="C9" s="949">
        <v>224.66</v>
      </c>
    </row>
    <row r="10" spans="1:3" x14ac:dyDescent="0.35">
      <c r="A10" s="160" t="s">
        <v>141</v>
      </c>
      <c r="B10" s="117">
        <f t="shared" ref="B10" si="1">+B8+B9</f>
        <v>76005.919999999998</v>
      </c>
    </row>
    <row r="11" spans="1:3" x14ac:dyDescent="0.35">
      <c r="A11" s="153" t="s">
        <v>417</v>
      </c>
      <c r="B11" s="555">
        <v>7.6499999999999999E-2</v>
      </c>
    </row>
    <row r="12" spans="1:3" x14ac:dyDescent="0.35">
      <c r="A12" s="153" t="s">
        <v>229</v>
      </c>
      <c r="B12" s="108">
        <f t="shared" ref="B12" si="2">ROUND(+B10*B11,0)</f>
        <v>5814</v>
      </c>
    </row>
    <row r="13" spans="1:3" x14ac:dyDescent="0.35">
      <c r="A13" s="168" t="s">
        <v>143</v>
      </c>
      <c r="B13" s="119">
        <f t="shared" ref="B13" si="3">+B10+B12</f>
        <v>81819.92</v>
      </c>
    </row>
    <row r="14" spans="1:3" x14ac:dyDescent="0.35">
      <c r="A14" s="173"/>
      <c r="B14" s="173"/>
    </row>
    <row r="15" spans="1:3" x14ac:dyDescent="0.35">
      <c r="A15" s="174" t="s">
        <v>577</v>
      </c>
      <c r="B15" s="550">
        <v>0.1</v>
      </c>
    </row>
    <row r="16" spans="1:3" x14ac:dyDescent="0.35">
      <c r="A16" s="168" t="s">
        <v>149</v>
      </c>
      <c r="B16" s="119">
        <f>ROUND(+B$13*B15,0)</f>
        <v>8182</v>
      </c>
    </row>
    <row r="17" spans="1:2" x14ac:dyDescent="0.35">
      <c r="A17" s="173"/>
      <c r="B17" s="173"/>
    </row>
    <row r="18" spans="1:2" x14ac:dyDescent="0.35">
      <c r="A18" s="174" t="s">
        <v>151</v>
      </c>
      <c r="B18" s="111"/>
    </row>
    <row r="19" spans="1:2" x14ac:dyDescent="0.35">
      <c r="A19" s="153" t="s">
        <v>575</v>
      </c>
      <c r="B19" s="361">
        <v>8.9999999999999993E-3</v>
      </c>
    </row>
    <row r="20" spans="1:2" x14ac:dyDescent="0.35">
      <c r="A20" s="153" t="s">
        <v>574</v>
      </c>
      <c r="B20" s="1188">
        <f>ROUND(+B$13*B19,0)</f>
        <v>736</v>
      </c>
    </row>
    <row r="21" spans="1:2" x14ac:dyDescent="0.35">
      <c r="A21" s="153" t="s">
        <v>576</v>
      </c>
      <c r="B21" s="361">
        <v>8.0400000000000003E-3</v>
      </c>
    </row>
    <row r="22" spans="1:2" x14ac:dyDescent="0.35">
      <c r="A22" s="153" t="s">
        <v>574</v>
      </c>
      <c r="B22" s="119">
        <f>ROUND(+B$13*B21,0)</f>
        <v>658</v>
      </c>
    </row>
    <row r="23" spans="1:2" x14ac:dyDescent="0.35">
      <c r="A23" s="129" t="s">
        <v>153</v>
      </c>
      <c r="B23" s="119">
        <f t="shared" ref="B23" si="4">+B20+B22</f>
        <v>1394</v>
      </c>
    </row>
    <row r="24" spans="1:2" x14ac:dyDescent="0.35">
      <c r="A24" s="109"/>
      <c r="B24" s="109"/>
    </row>
    <row r="25" spans="1:2" x14ac:dyDescent="0.35">
      <c r="A25" s="120" t="s">
        <v>98</v>
      </c>
      <c r="B25" s="191"/>
    </row>
    <row r="26" spans="1:2" x14ac:dyDescent="0.35">
      <c r="A26" s="123" t="s">
        <v>158</v>
      </c>
      <c r="B26" s="192">
        <v>1500</v>
      </c>
    </row>
    <row r="27" spans="1:2" x14ac:dyDescent="0.35">
      <c r="A27" s="123" t="s">
        <v>584</v>
      </c>
      <c r="B27" s="192">
        <v>1300</v>
      </c>
    </row>
    <row r="28" spans="1:2" x14ac:dyDescent="0.35">
      <c r="A28" s="123" t="s">
        <v>98</v>
      </c>
      <c r="B28" s="192">
        <v>600</v>
      </c>
    </row>
    <row r="29" spans="1:2" x14ac:dyDescent="0.35">
      <c r="A29" s="134" t="s">
        <v>160</v>
      </c>
      <c r="B29" s="193">
        <f t="shared" ref="B29" si="5">+SUM(B26:B28)</f>
        <v>3400</v>
      </c>
    </row>
    <row r="30" spans="1:2" ht="15" thickBot="1" x14ac:dyDescent="0.4">
      <c r="A30" s="109"/>
      <c r="B30" s="109"/>
    </row>
    <row r="31" spans="1:2" ht="15.5" thickTop="1" thickBot="1" x14ac:dyDescent="0.4">
      <c r="A31" s="426" t="s">
        <v>704</v>
      </c>
      <c r="B31" s="722">
        <f t="shared" ref="B31" si="6">+B13+B16+B23+B29</f>
        <v>94795.92</v>
      </c>
    </row>
    <row r="32" spans="1:2" ht="15" thickTop="1" x14ac:dyDescent="0.35"/>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7"/>
  <sheetViews>
    <sheetView showGridLines="0" workbookViewId="0">
      <selection activeCell="I50" sqref="I50"/>
    </sheetView>
  </sheetViews>
  <sheetFormatPr defaultRowHeight="14.5" outlineLevelRow="1" x14ac:dyDescent="0.35"/>
  <cols>
    <col min="1" max="1" width="7.453125" style="109" customWidth="1"/>
    <col min="2" max="2" width="40.54296875" style="109" customWidth="1"/>
    <col min="3" max="4" width="9.54296875" style="109" hidden="1" customWidth="1"/>
    <col min="5" max="7" width="9.36328125" style="109" hidden="1" customWidth="1"/>
    <col min="8" max="9" width="9.36328125" style="109" customWidth="1"/>
    <col min="10" max="10" width="1.7265625" style="109" customWidth="1"/>
    <col min="11" max="11" width="4" style="109" customWidth="1"/>
    <col min="12" max="12" width="4.54296875" style="109" customWidth="1"/>
    <col min="13" max="13" width="4" style="109" customWidth="1"/>
    <col min="14" max="14" width="4.54296875" style="109" customWidth="1"/>
    <col min="15" max="15" width="4" style="109" customWidth="1"/>
    <col min="16" max="16" width="4.54296875" style="109" customWidth="1"/>
    <col min="17" max="17" width="4" style="109" customWidth="1"/>
    <col min="18" max="18" width="4.54296875" style="109" customWidth="1"/>
    <col min="19" max="19" width="5.6328125" style="109" customWidth="1"/>
    <col min="20" max="16384" width="8.7265625" style="109"/>
  </cols>
  <sheetData>
    <row r="1" spans="1:19" ht="21" x14ac:dyDescent="0.35">
      <c r="A1" s="1554" t="s">
        <v>241</v>
      </c>
      <c r="B1" s="1554"/>
      <c r="C1" s="1554"/>
      <c r="D1" s="1554"/>
      <c r="E1" s="1554"/>
      <c r="F1" s="1554"/>
      <c r="G1" s="1554"/>
      <c r="H1" s="1554"/>
      <c r="I1" s="1554"/>
      <c r="J1" s="1554"/>
      <c r="K1" s="1554"/>
      <c r="L1" s="1554"/>
      <c r="M1" s="1554"/>
      <c r="N1" s="1554"/>
      <c r="O1" s="1554"/>
      <c r="P1" s="1554"/>
      <c r="Q1" s="1554"/>
      <c r="R1" s="1554"/>
      <c r="S1" s="1554"/>
    </row>
    <row r="2" spans="1:19" ht="15" thickBot="1" x14ac:dyDescent="0.4"/>
    <row r="3" spans="1:19" ht="32.5" customHeight="1" thickTop="1" thickBot="1" x14ac:dyDescent="0.4">
      <c r="C3" s="429" t="s">
        <v>142</v>
      </c>
      <c r="D3" s="429" t="s">
        <v>221</v>
      </c>
      <c r="E3" s="430" t="s">
        <v>285</v>
      </c>
      <c r="F3" s="430" t="s">
        <v>369</v>
      </c>
      <c r="G3" s="981" t="s">
        <v>560</v>
      </c>
      <c r="H3" s="981" t="s">
        <v>686</v>
      </c>
      <c r="I3" s="929" t="s">
        <v>827</v>
      </c>
      <c r="J3" s="1575" t="s">
        <v>240</v>
      </c>
      <c r="K3" s="1575"/>
      <c r="L3" s="1575"/>
      <c r="M3" s="1575"/>
      <c r="N3" s="1575"/>
      <c r="O3" s="1575"/>
      <c r="P3" s="1575"/>
      <c r="Q3" s="1575"/>
      <c r="R3" s="1575"/>
      <c r="S3" s="1576"/>
    </row>
    <row r="4" spans="1:19" ht="15" thickTop="1" x14ac:dyDescent="0.35">
      <c r="A4" s="377"/>
      <c r="B4" s="271"/>
      <c r="C4" s="435"/>
      <c r="D4" s="436"/>
      <c r="E4" s="431"/>
      <c r="F4" s="431"/>
      <c r="G4" s="431"/>
      <c r="H4" s="431"/>
      <c r="I4" s="431"/>
      <c r="J4" s="266"/>
      <c r="K4" s="278">
        <v>4</v>
      </c>
      <c r="L4" s="257" t="s">
        <v>178</v>
      </c>
      <c r="M4" s="278">
        <v>4</v>
      </c>
      <c r="N4" s="257" t="s">
        <v>181</v>
      </c>
      <c r="O4" s="278">
        <v>4</v>
      </c>
      <c r="P4" s="257" t="s">
        <v>176</v>
      </c>
      <c r="Q4" s="278">
        <v>4</v>
      </c>
      <c r="R4" s="257" t="s">
        <v>183</v>
      </c>
      <c r="S4" s="261"/>
    </row>
    <row r="5" spans="1:19" x14ac:dyDescent="0.35">
      <c r="A5" s="277"/>
      <c r="B5" s="257"/>
      <c r="C5" s="436"/>
      <c r="D5" s="436"/>
      <c r="E5" s="431"/>
      <c r="F5" s="431"/>
      <c r="G5" s="431"/>
      <c r="H5" s="431"/>
      <c r="I5" s="431"/>
      <c r="J5" s="266"/>
      <c r="K5" s="278">
        <v>4</v>
      </c>
      <c r="L5" s="257" t="s">
        <v>179</v>
      </c>
      <c r="M5" s="278">
        <v>4</v>
      </c>
      <c r="N5" s="257" t="s">
        <v>174</v>
      </c>
      <c r="O5" s="278">
        <v>4</v>
      </c>
      <c r="P5" s="257" t="s">
        <v>182</v>
      </c>
      <c r="Q5" s="278">
        <v>4</v>
      </c>
      <c r="R5" s="257" t="s">
        <v>184</v>
      </c>
      <c r="S5" s="261"/>
    </row>
    <row r="6" spans="1:19" x14ac:dyDescent="0.35">
      <c r="A6" s="280" t="s">
        <v>172</v>
      </c>
      <c r="B6" s="281" t="s">
        <v>173</v>
      </c>
      <c r="C6" s="437">
        <v>52</v>
      </c>
      <c r="D6" s="437">
        <v>52</v>
      </c>
      <c r="E6" s="437">
        <v>52</v>
      </c>
      <c r="F6" s="437">
        <v>52</v>
      </c>
      <c r="G6" s="437">
        <v>52</v>
      </c>
      <c r="H6" s="432">
        <f>+SUM($K$4:$K$6)+SUM($M$4:$M$6)+SUM($O$4:$O$6)+SUM($Q$4:$Q$6)</f>
        <v>52</v>
      </c>
      <c r="I6" s="432">
        <f>+SUM($K$4:$K$6)+SUM($M$4:$M$6)+SUM($O$4:$O$6)+SUM($Q$4:$Q$6)</f>
        <v>52</v>
      </c>
      <c r="J6" s="394"/>
      <c r="K6" s="282">
        <v>5</v>
      </c>
      <c r="L6" s="281" t="s">
        <v>180</v>
      </c>
      <c r="M6" s="282">
        <v>5</v>
      </c>
      <c r="N6" s="281" t="s">
        <v>175</v>
      </c>
      <c r="O6" s="282">
        <v>5</v>
      </c>
      <c r="P6" s="281" t="s">
        <v>177</v>
      </c>
      <c r="Q6" s="282">
        <v>5</v>
      </c>
      <c r="R6" s="281" t="s">
        <v>185</v>
      </c>
      <c r="S6" s="283"/>
    </row>
    <row r="7" spans="1:19" x14ac:dyDescent="0.35">
      <c r="A7" s="284"/>
      <c r="B7" s="285" t="s">
        <v>186</v>
      </c>
      <c r="C7" s="433">
        <v>4</v>
      </c>
      <c r="D7" s="433">
        <v>4</v>
      </c>
      <c r="E7" s="433">
        <v>4</v>
      </c>
      <c r="F7" s="433">
        <v>4</v>
      </c>
      <c r="G7" s="433">
        <v>3</v>
      </c>
      <c r="H7" s="1185">
        <v>3</v>
      </c>
      <c r="I7" s="1185">
        <v>3</v>
      </c>
      <c r="J7" s="395"/>
      <c r="K7" s="285" t="s">
        <v>561</v>
      </c>
      <c r="L7" s="285"/>
      <c r="M7" s="285"/>
      <c r="N7" s="285"/>
      <c r="O7" s="285"/>
      <c r="P7" s="285"/>
      <c r="Q7" s="285"/>
      <c r="R7" s="285"/>
      <c r="S7" s="286"/>
    </row>
    <row r="8" spans="1:19" x14ac:dyDescent="0.35">
      <c r="A8" s="284"/>
      <c r="B8" s="285" t="s">
        <v>187</v>
      </c>
      <c r="C8" s="433">
        <v>6</v>
      </c>
      <c r="D8" s="433">
        <v>7</v>
      </c>
      <c r="E8" s="433">
        <v>7</v>
      </c>
      <c r="F8" s="433">
        <v>7</v>
      </c>
      <c r="G8" s="433">
        <v>7</v>
      </c>
      <c r="H8" s="1185">
        <v>7</v>
      </c>
      <c r="I8" s="1185">
        <v>7</v>
      </c>
      <c r="J8" s="395"/>
      <c r="K8" s="285" t="s">
        <v>562</v>
      </c>
      <c r="L8" s="285"/>
      <c r="M8" s="285"/>
      <c r="N8" s="285"/>
      <c r="O8" s="285"/>
      <c r="P8" s="285"/>
      <c r="Q8" s="285"/>
      <c r="R8" s="285"/>
      <c r="S8" s="286"/>
    </row>
    <row r="9" spans="1:19" x14ac:dyDescent="0.35">
      <c r="A9" s="284"/>
      <c r="B9" s="285" t="s">
        <v>223</v>
      </c>
      <c r="C9" s="433">
        <v>1</v>
      </c>
      <c r="D9" s="433">
        <v>1</v>
      </c>
      <c r="E9" s="433">
        <v>1</v>
      </c>
      <c r="F9" s="433">
        <v>0</v>
      </c>
      <c r="G9" s="433">
        <v>1</v>
      </c>
      <c r="H9" s="1185">
        <v>1</v>
      </c>
      <c r="I9" s="1185">
        <v>1</v>
      </c>
      <c r="J9" s="395"/>
      <c r="K9" s="285" t="s">
        <v>563</v>
      </c>
      <c r="L9" s="285"/>
      <c r="M9" s="285"/>
      <c r="N9" s="285"/>
      <c r="O9" s="285"/>
      <c r="P9" s="285"/>
      <c r="Q9" s="285"/>
      <c r="R9" s="285"/>
      <c r="S9" s="286"/>
    </row>
    <row r="10" spans="1:19" ht="15" thickBot="1" x14ac:dyDescent="0.4">
      <c r="A10" s="279"/>
      <c r="B10" s="267" t="s">
        <v>188</v>
      </c>
      <c r="C10" s="434">
        <v>15</v>
      </c>
      <c r="D10" s="434">
        <v>15</v>
      </c>
      <c r="E10" s="434">
        <v>15</v>
      </c>
      <c r="F10" s="434">
        <v>15</v>
      </c>
      <c r="G10" s="434">
        <v>15</v>
      </c>
      <c r="H10" s="1186">
        <v>0</v>
      </c>
      <c r="I10" s="1186">
        <v>0</v>
      </c>
      <c r="J10" s="396"/>
      <c r="K10" s="267" t="s">
        <v>702</v>
      </c>
      <c r="L10" s="267"/>
      <c r="M10" s="267"/>
      <c r="N10" s="267"/>
      <c r="O10" s="267"/>
      <c r="P10" s="267"/>
      <c r="Q10" s="267"/>
      <c r="R10" s="267"/>
      <c r="S10" s="268"/>
    </row>
    <row r="11" spans="1:19" ht="15.5" thickTop="1" thickBot="1" x14ac:dyDescent="0.4">
      <c r="A11" s="1533" t="s">
        <v>491</v>
      </c>
      <c r="B11" s="1534"/>
      <c r="C11" s="1534"/>
      <c r="D11" s="1534"/>
      <c r="E11" s="1534"/>
      <c r="F11" s="931"/>
      <c r="G11" s="931"/>
      <c r="H11" s="931"/>
      <c r="I11" s="931"/>
      <c r="J11" s="931"/>
      <c r="K11" s="931"/>
      <c r="L11" s="931"/>
      <c r="M11" s="931"/>
      <c r="N11" s="931"/>
      <c r="O11" s="931"/>
      <c r="P11" s="931"/>
      <c r="Q11" s="931"/>
      <c r="R11" s="931"/>
      <c r="S11" s="932"/>
    </row>
    <row r="12" spans="1:19" ht="15" customHeight="1" thickTop="1" x14ac:dyDescent="0.35">
      <c r="A12" s="1563" t="s">
        <v>414</v>
      </c>
      <c r="B12" s="270" t="s">
        <v>390</v>
      </c>
      <c r="C12" s="438">
        <v>37</v>
      </c>
      <c r="D12" s="438">
        <v>37</v>
      </c>
      <c r="E12" s="439">
        <f>+E6-E10</f>
        <v>37</v>
      </c>
      <c r="F12" s="439">
        <f>+F6-F10</f>
        <v>37</v>
      </c>
      <c r="G12" s="439">
        <f>+G6-G10</f>
        <v>37</v>
      </c>
      <c r="H12" s="439">
        <f>+H6-H10</f>
        <v>52</v>
      </c>
      <c r="I12" s="439">
        <f>+I6-I10</f>
        <v>52</v>
      </c>
      <c r="J12" s="397"/>
      <c r="K12" s="1535" t="s">
        <v>207</v>
      </c>
      <c r="L12" s="1535"/>
      <c r="M12" s="1535"/>
      <c r="N12" s="1535"/>
      <c r="O12" s="1535"/>
      <c r="P12" s="1535"/>
      <c r="Q12" s="1535"/>
      <c r="R12" s="1535"/>
      <c r="S12" s="1536"/>
    </row>
    <row r="13" spans="1:19" ht="14.5" customHeight="1" x14ac:dyDescent="0.35">
      <c r="A13" s="1564"/>
      <c r="B13" s="256" t="s">
        <v>382</v>
      </c>
      <c r="C13" s="440">
        <v>1</v>
      </c>
      <c r="D13" s="440">
        <v>1</v>
      </c>
      <c r="E13" s="440">
        <v>1</v>
      </c>
      <c r="F13" s="440">
        <v>1</v>
      </c>
      <c r="G13" s="440">
        <v>1</v>
      </c>
      <c r="H13" s="440">
        <v>1</v>
      </c>
      <c r="I13" s="440">
        <v>1</v>
      </c>
      <c r="J13" s="398"/>
      <c r="K13" s="1537"/>
      <c r="L13" s="1537"/>
      <c r="M13" s="1537"/>
      <c r="N13" s="1537"/>
      <c r="O13" s="1537"/>
      <c r="P13" s="1537"/>
      <c r="Q13" s="1537"/>
      <c r="R13" s="1537"/>
      <c r="S13" s="1538"/>
    </row>
    <row r="14" spans="1:19" x14ac:dyDescent="0.35">
      <c r="A14" s="1564"/>
      <c r="B14" s="262" t="s">
        <v>567</v>
      </c>
      <c r="C14" s="441">
        <f t="shared" ref="C14:H14" si="0">+C12*C13</f>
        <v>37</v>
      </c>
      <c r="D14" s="441">
        <f t="shared" si="0"/>
        <v>37</v>
      </c>
      <c r="E14" s="441">
        <f t="shared" si="0"/>
        <v>37</v>
      </c>
      <c r="F14" s="441">
        <f t="shared" si="0"/>
        <v>37</v>
      </c>
      <c r="G14" s="441">
        <f t="shared" si="0"/>
        <v>37</v>
      </c>
      <c r="H14" s="441">
        <f t="shared" si="0"/>
        <v>52</v>
      </c>
      <c r="I14" s="441">
        <f t="shared" ref="I14" si="1">+I12*I13</f>
        <v>52</v>
      </c>
      <c r="J14" s="399"/>
      <c r="K14" s="1539"/>
      <c r="L14" s="1539"/>
      <c r="M14" s="1539"/>
      <c r="N14" s="1539"/>
      <c r="O14" s="1539"/>
      <c r="P14" s="1539"/>
      <c r="Q14" s="1539"/>
      <c r="R14" s="1539"/>
      <c r="S14" s="1540"/>
    </row>
    <row r="15" spans="1:19" x14ac:dyDescent="0.35">
      <c r="A15" s="1565"/>
      <c r="B15" s="259" t="s">
        <v>386</v>
      </c>
      <c r="C15" s="442"/>
      <c r="D15" s="442"/>
      <c r="E15" s="442"/>
      <c r="F15" s="442"/>
      <c r="G15" s="442"/>
      <c r="H15" s="982"/>
      <c r="I15" s="982"/>
      <c r="J15" s="400"/>
      <c r="K15" s="122"/>
      <c r="L15" s="122"/>
      <c r="M15" s="175"/>
      <c r="N15" s="122"/>
      <c r="O15" s="175"/>
      <c r="P15" s="122"/>
      <c r="Q15" s="175"/>
      <c r="R15" s="122"/>
      <c r="S15" s="260"/>
    </row>
    <row r="16" spans="1:19" x14ac:dyDescent="0.35">
      <c r="A16" s="1565"/>
      <c r="B16" s="256" t="s">
        <v>383</v>
      </c>
      <c r="C16" s="440">
        <v>0</v>
      </c>
      <c r="D16" s="440">
        <v>0</v>
      </c>
      <c r="E16" s="440">
        <v>0</v>
      </c>
      <c r="F16" s="440">
        <v>4</v>
      </c>
      <c r="G16" s="443">
        <f t="shared" ref="G16:I17" si="2">+G7</f>
        <v>3</v>
      </c>
      <c r="H16" s="443">
        <f t="shared" si="2"/>
        <v>3</v>
      </c>
      <c r="I16" s="443">
        <f t="shared" si="2"/>
        <v>3</v>
      </c>
      <c r="J16" s="398"/>
      <c r="K16" s="257" t="s">
        <v>379</v>
      </c>
      <c r="L16" s="154"/>
      <c r="N16" s="257"/>
      <c r="O16" s="154"/>
      <c r="P16" s="257"/>
      <c r="Q16" s="154"/>
      <c r="R16" s="257"/>
      <c r="S16" s="261"/>
    </row>
    <row r="17" spans="1:19" x14ac:dyDescent="0.35">
      <c r="A17" s="1565"/>
      <c r="B17" s="256" t="s">
        <v>384</v>
      </c>
      <c r="C17" s="443">
        <f>+C8</f>
        <v>6</v>
      </c>
      <c r="D17" s="443">
        <f>+D8</f>
        <v>7</v>
      </c>
      <c r="E17" s="443">
        <f>+E8</f>
        <v>7</v>
      </c>
      <c r="F17" s="443">
        <f>+F8</f>
        <v>7</v>
      </c>
      <c r="G17" s="443">
        <f t="shared" si="2"/>
        <v>7</v>
      </c>
      <c r="H17" s="443">
        <f t="shared" si="2"/>
        <v>7</v>
      </c>
      <c r="I17" s="443">
        <f t="shared" si="2"/>
        <v>7</v>
      </c>
      <c r="J17" s="401"/>
      <c r="K17" s="257" t="s">
        <v>189</v>
      </c>
      <c r="M17" s="154"/>
      <c r="N17" s="257"/>
      <c r="O17" s="154"/>
      <c r="P17" s="257"/>
      <c r="Q17" s="154"/>
      <c r="R17" s="257"/>
      <c r="S17" s="261"/>
    </row>
    <row r="18" spans="1:19" hidden="1" x14ac:dyDescent="0.35">
      <c r="A18" s="1565"/>
      <c r="B18" s="256" t="s">
        <v>385</v>
      </c>
      <c r="C18" s="443">
        <f t="shared" ref="C18:H18" si="3">SUM(C14:C17)</f>
        <v>43</v>
      </c>
      <c r="D18" s="443">
        <f t="shared" si="3"/>
        <v>44</v>
      </c>
      <c r="E18" s="443">
        <f t="shared" si="3"/>
        <v>44</v>
      </c>
      <c r="F18" s="443">
        <f t="shared" si="3"/>
        <v>48</v>
      </c>
      <c r="G18" s="443">
        <f t="shared" si="3"/>
        <v>47</v>
      </c>
      <c r="H18" s="443">
        <f t="shared" si="3"/>
        <v>62</v>
      </c>
      <c r="I18" s="443">
        <f t="shared" ref="I18" si="4">SUM(I14:I17)</f>
        <v>62</v>
      </c>
      <c r="J18" s="401"/>
      <c r="K18" s="257"/>
      <c r="L18" s="257"/>
      <c r="M18" s="154"/>
      <c r="N18" s="257"/>
      <c r="O18" s="154"/>
      <c r="P18" s="257"/>
      <c r="Q18" s="154"/>
      <c r="R18" s="257"/>
      <c r="S18" s="261"/>
    </row>
    <row r="19" spans="1:19" hidden="1" x14ac:dyDescent="0.35">
      <c r="A19" s="1565"/>
      <c r="B19" s="256" t="s">
        <v>194</v>
      </c>
      <c r="C19" s="443">
        <f>C12</f>
        <v>37</v>
      </c>
      <c r="D19" s="443">
        <f>D12</f>
        <v>37</v>
      </c>
      <c r="E19" s="443">
        <f>E12</f>
        <v>37</v>
      </c>
      <c r="F19" s="443">
        <f>F12</f>
        <v>37</v>
      </c>
      <c r="G19" s="443">
        <v>0</v>
      </c>
      <c r="H19" s="440">
        <v>0</v>
      </c>
      <c r="I19" s="440">
        <v>0</v>
      </c>
      <c r="J19" s="401"/>
      <c r="K19" s="257" t="s">
        <v>387</v>
      </c>
      <c r="M19" s="154"/>
      <c r="N19" s="257"/>
      <c r="O19" s="154"/>
      <c r="P19" s="257"/>
      <c r="Q19" s="154"/>
      <c r="R19" s="257"/>
      <c r="S19" s="261"/>
    </row>
    <row r="20" spans="1:19" x14ac:dyDescent="0.35">
      <c r="A20" s="1565"/>
      <c r="B20" s="262" t="s">
        <v>385</v>
      </c>
      <c r="C20" s="444">
        <f t="shared" ref="C20:H20" si="5">+C18+C19</f>
        <v>80</v>
      </c>
      <c r="D20" s="444">
        <f t="shared" si="5"/>
        <v>81</v>
      </c>
      <c r="E20" s="444">
        <f t="shared" si="5"/>
        <v>81</v>
      </c>
      <c r="F20" s="444">
        <f t="shared" si="5"/>
        <v>85</v>
      </c>
      <c r="G20" s="444">
        <f t="shared" si="5"/>
        <v>47</v>
      </c>
      <c r="H20" s="441">
        <f t="shared" si="5"/>
        <v>62</v>
      </c>
      <c r="I20" s="441">
        <f t="shared" ref="I20" si="6">+I18+I19</f>
        <v>62</v>
      </c>
      <c r="J20" s="402"/>
      <c r="K20" s="263"/>
      <c r="L20" s="263"/>
      <c r="M20" s="264"/>
      <c r="N20" s="263"/>
      <c r="O20" s="264"/>
      <c r="P20" s="263"/>
      <c r="Q20" s="264"/>
      <c r="R20" s="263"/>
      <c r="S20" s="265"/>
    </row>
    <row r="21" spans="1:19" x14ac:dyDescent="0.35">
      <c r="A21" s="1566" t="s">
        <v>192</v>
      </c>
      <c r="B21" s="122" t="s">
        <v>199</v>
      </c>
      <c r="C21" s="442">
        <v>6</v>
      </c>
      <c r="D21" s="442">
        <v>6</v>
      </c>
      <c r="E21" s="442">
        <v>6</v>
      </c>
      <c r="F21" s="442">
        <v>5</v>
      </c>
      <c r="G21" s="442">
        <v>5</v>
      </c>
      <c r="H21" s="442">
        <v>5</v>
      </c>
      <c r="I21" s="442">
        <v>5</v>
      </c>
      <c r="J21" s="400"/>
      <c r="K21" s="122" t="s">
        <v>380</v>
      </c>
      <c r="L21" s="122"/>
      <c r="M21" s="175"/>
      <c r="N21" s="122"/>
      <c r="O21" s="175"/>
      <c r="P21" s="122"/>
      <c r="Q21" s="175"/>
      <c r="R21" s="122"/>
      <c r="S21" s="260"/>
    </row>
    <row r="22" spans="1:19" x14ac:dyDescent="0.35">
      <c r="A22" s="1567"/>
      <c r="B22" s="257" t="s">
        <v>388</v>
      </c>
      <c r="C22" s="440">
        <v>0</v>
      </c>
      <c r="D22" s="440">
        <v>3</v>
      </c>
      <c r="E22" s="440">
        <v>3</v>
      </c>
      <c r="F22" s="440">
        <v>3</v>
      </c>
      <c r="G22" s="440">
        <v>3</v>
      </c>
      <c r="H22" s="440">
        <v>3</v>
      </c>
      <c r="I22" s="440">
        <v>3</v>
      </c>
      <c r="J22" s="398"/>
      <c r="K22" s="257"/>
      <c r="M22" s="154"/>
      <c r="N22" s="257"/>
      <c r="O22" s="154"/>
      <c r="P22" s="257"/>
      <c r="Q22" s="154"/>
      <c r="R22" s="257"/>
      <c r="S22" s="261"/>
    </row>
    <row r="23" spans="1:19" hidden="1" x14ac:dyDescent="0.35">
      <c r="A23" s="1567"/>
      <c r="B23" s="257" t="s">
        <v>191</v>
      </c>
      <c r="C23" s="445">
        <v>25</v>
      </c>
      <c r="D23" s="445">
        <v>25</v>
      </c>
      <c r="E23" s="445">
        <v>25</v>
      </c>
      <c r="F23" s="445">
        <v>25</v>
      </c>
      <c r="G23" s="445">
        <v>0</v>
      </c>
      <c r="H23" s="445">
        <v>0</v>
      </c>
      <c r="I23" s="445">
        <v>0</v>
      </c>
      <c r="J23" s="403"/>
      <c r="K23" s="257"/>
      <c r="L23" s="257"/>
      <c r="M23" s="154"/>
      <c r="N23" s="257"/>
      <c r="O23" s="154"/>
      <c r="P23" s="257"/>
      <c r="Q23" s="154"/>
      <c r="R23" s="257"/>
      <c r="S23" s="261"/>
    </row>
    <row r="24" spans="1:19" x14ac:dyDescent="0.35">
      <c r="A24" s="1568"/>
      <c r="B24" s="263" t="s">
        <v>389</v>
      </c>
      <c r="C24" s="446">
        <v>30</v>
      </c>
      <c r="D24" s="446">
        <v>30</v>
      </c>
      <c r="E24" s="446">
        <v>30</v>
      </c>
      <c r="F24" s="446">
        <v>35</v>
      </c>
      <c r="G24" s="446">
        <v>62</v>
      </c>
      <c r="H24" s="446">
        <f>+G24</f>
        <v>62</v>
      </c>
      <c r="I24" s="446">
        <f>+H24</f>
        <v>62</v>
      </c>
      <c r="J24" s="404"/>
      <c r="K24" s="263"/>
      <c r="L24" s="263"/>
      <c r="M24" s="264"/>
      <c r="N24" s="263"/>
      <c r="O24" s="264"/>
      <c r="P24" s="263"/>
      <c r="Q24" s="264"/>
      <c r="R24" s="263"/>
      <c r="S24" s="265"/>
    </row>
    <row r="25" spans="1:19" ht="14.5" hidden="1" customHeight="1" x14ac:dyDescent="0.35">
      <c r="A25" s="986" t="s">
        <v>193</v>
      </c>
      <c r="B25" s="122" t="s">
        <v>190</v>
      </c>
      <c r="C25" s="447">
        <f>+C19*C21*C23</f>
        <v>5550</v>
      </c>
      <c r="D25" s="447">
        <f t="shared" ref="D25:I25" si="7">(+D19*D21*D23)+(D22*2*D23)</f>
        <v>5700</v>
      </c>
      <c r="E25" s="447">
        <f t="shared" si="7"/>
        <v>5700</v>
      </c>
      <c r="F25" s="447">
        <f t="shared" si="7"/>
        <v>4775</v>
      </c>
      <c r="G25" s="447">
        <f t="shared" si="7"/>
        <v>0</v>
      </c>
      <c r="H25" s="983">
        <f t="shared" si="7"/>
        <v>0</v>
      </c>
      <c r="I25" s="983">
        <f t="shared" si="7"/>
        <v>0</v>
      </c>
      <c r="J25" s="405"/>
      <c r="K25" s="122"/>
      <c r="L25" s="122"/>
      <c r="M25" s="175"/>
      <c r="N25" s="122"/>
      <c r="O25" s="175"/>
      <c r="P25" s="122"/>
      <c r="Q25" s="175"/>
      <c r="R25" s="122"/>
      <c r="S25" s="260"/>
    </row>
    <row r="26" spans="1:19" ht="14.5" customHeight="1" thickBot="1" x14ac:dyDescent="0.4">
      <c r="A26" s="995"/>
      <c r="B26" s="895" t="s">
        <v>568</v>
      </c>
      <c r="C26" s="448">
        <f>+C18*C21*C24</f>
        <v>7740</v>
      </c>
      <c r="D26" s="448">
        <f>(+D18*D21*D24)+(D22*2*D24)</f>
        <v>8100</v>
      </c>
      <c r="E26" s="448">
        <f>(+E18*E21*E24)+(E22*2*E24)</f>
        <v>8100</v>
      </c>
      <c r="F26" s="448">
        <f>(+F18*F21*F24)+(F22*2*F24)</f>
        <v>8610</v>
      </c>
      <c r="G26" s="448">
        <f>+ROUND((G20*G21*G24)+(G22*2*G24),0)</f>
        <v>14942</v>
      </c>
      <c r="H26" s="448">
        <f>+ROUND((H20*H21*H24)+(H22*2*H24),0)</f>
        <v>19592</v>
      </c>
      <c r="I26" s="448">
        <f>+ROUND((I20*I21*I24)+(I22*2*I24),0)</f>
        <v>19592</v>
      </c>
      <c r="J26" s="406"/>
      <c r="K26" s="895"/>
      <c r="L26" s="257"/>
      <c r="M26" s="154"/>
      <c r="N26" s="266"/>
      <c r="O26" s="154"/>
      <c r="P26" s="257"/>
      <c r="Q26" s="154"/>
      <c r="R26" s="257"/>
      <c r="S26" s="261"/>
    </row>
    <row r="27" spans="1:19" ht="15" customHeight="1" x14ac:dyDescent="0.35">
      <c r="A27" s="1541" t="s">
        <v>200</v>
      </c>
      <c r="B27" s="290" t="s">
        <v>564</v>
      </c>
      <c r="C27" s="463">
        <v>2</v>
      </c>
      <c r="D27" s="463">
        <v>2</v>
      </c>
      <c r="E27" s="463">
        <v>2</v>
      </c>
      <c r="F27" s="463">
        <v>2</v>
      </c>
      <c r="G27" s="987">
        <v>1</v>
      </c>
      <c r="H27" s="987">
        <v>0</v>
      </c>
      <c r="I27" s="987">
        <v>0</v>
      </c>
      <c r="J27" s="415"/>
      <c r="K27" s="290"/>
      <c r="L27" s="290"/>
      <c r="M27" s="291"/>
      <c r="N27" s="290"/>
      <c r="O27" s="291"/>
      <c r="P27" s="290"/>
      <c r="Q27" s="291"/>
      <c r="R27" s="290"/>
      <c r="S27" s="292"/>
    </row>
    <row r="28" spans="1:19" ht="15" customHeight="1" x14ac:dyDescent="0.35">
      <c r="A28" s="1543"/>
      <c r="B28" s="257" t="s">
        <v>204</v>
      </c>
      <c r="C28" s="988">
        <v>25</v>
      </c>
      <c r="D28" s="988">
        <v>25</v>
      </c>
      <c r="E28" s="988">
        <v>25</v>
      </c>
      <c r="F28" s="988">
        <v>25</v>
      </c>
      <c r="G28" s="448">
        <f>+G24</f>
        <v>62</v>
      </c>
      <c r="H28" s="448">
        <f>+H24</f>
        <v>62</v>
      </c>
      <c r="I28" s="448">
        <f>+I24</f>
        <v>62</v>
      </c>
      <c r="J28" s="989"/>
      <c r="K28" s="257"/>
      <c r="L28" s="257"/>
      <c r="M28" s="154"/>
      <c r="N28" s="257"/>
      <c r="O28" s="154"/>
      <c r="P28" s="257"/>
      <c r="Q28" s="154"/>
      <c r="R28" s="257"/>
      <c r="S28" s="261"/>
    </row>
    <row r="29" spans="1:19" ht="15" thickBot="1" x14ac:dyDescent="0.4">
      <c r="A29" s="990" t="s">
        <v>193</v>
      </c>
      <c r="B29" s="991" t="s">
        <v>591</v>
      </c>
      <c r="C29" s="992">
        <f t="shared" ref="C29:F29" si="8">+C20*C27*C28</f>
        <v>4000</v>
      </c>
      <c r="D29" s="992">
        <f t="shared" si="8"/>
        <v>4050</v>
      </c>
      <c r="E29" s="992">
        <f t="shared" si="8"/>
        <v>4050</v>
      </c>
      <c r="F29" s="992">
        <f t="shared" si="8"/>
        <v>4250</v>
      </c>
      <c r="G29" s="994">
        <f>ROUND(+G20*G27*G28,0)</f>
        <v>2914</v>
      </c>
      <c r="H29" s="994">
        <f>ROUND(+H20*H27*H28,0)</f>
        <v>0</v>
      </c>
      <c r="I29" s="994">
        <f>ROUND(+I20*I27*I28,0)</f>
        <v>0</v>
      </c>
      <c r="J29" s="877"/>
      <c r="K29" s="878"/>
      <c r="L29" s="878"/>
      <c r="M29" s="878"/>
      <c r="N29" s="878"/>
      <c r="O29" s="878"/>
      <c r="P29" s="878"/>
      <c r="Q29" s="878"/>
      <c r="R29" s="878"/>
      <c r="S29" s="993"/>
    </row>
    <row r="30" spans="1:19" ht="15" thickBot="1" x14ac:dyDescent="0.4">
      <c r="A30" s="996"/>
      <c r="B30" s="427" t="s">
        <v>195</v>
      </c>
      <c r="C30" s="449">
        <f>+C25+C26</f>
        <v>13290</v>
      </c>
      <c r="D30" s="449">
        <f>+D25+D26</f>
        <v>13800</v>
      </c>
      <c r="E30" s="450">
        <f>+E25+E26</f>
        <v>13800</v>
      </c>
      <c r="F30" s="930">
        <f>+F25+F26</f>
        <v>13385</v>
      </c>
      <c r="G30" s="930">
        <f>+G26+G29</f>
        <v>17856</v>
      </c>
      <c r="H30" s="930">
        <f>+H26+H29</f>
        <v>19592</v>
      </c>
      <c r="I30" s="930">
        <f>+I26+I29</f>
        <v>19592</v>
      </c>
      <c r="J30" s="417"/>
      <c r="K30" s="380"/>
      <c r="L30" s="380"/>
      <c r="M30" s="380"/>
      <c r="N30" s="380"/>
      <c r="O30" s="380"/>
      <c r="P30" s="380"/>
      <c r="Q30" s="380"/>
      <c r="R30" s="380"/>
      <c r="S30" s="418"/>
    </row>
    <row r="31" spans="1:19" ht="15.5" thickTop="1" thickBot="1" x14ac:dyDescent="0.4">
      <c r="A31" s="1533" t="s">
        <v>492</v>
      </c>
      <c r="B31" s="1534"/>
      <c r="C31" s="1534"/>
      <c r="D31" s="1534"/>
      <c r="E31" s="1534"/>
      <c r="F31" s="931"/>
      <c r="G31" s="931"/>
      <c r="H31" s="931"/>
      <c r="I31" s="931"/>
      <c r="J31" s="931"/>
      <c r="K31" s="931"/>
      <c r="L31" s="931"/>
      <c r="M31" s="931"/>
      <c r="N31" s="931"/>
      <c r="O31" s="931"/>
      <c r="P31" s="931"/>
      <c r="Q31" s="931"/>
      <c r="R31" s="931"/>
      <c r="S31" s="932"/>
    </row>
    <row r="32" spans="1:19" ht="15.5" hidden="1" outlineLevel="1" thickTop="1" thickBot="1" x14ac:dyDescent="0.4">
      <c r="A32" s="1572" t="s">
        <v>209</v>
      </c>
      <c r="B32" s="1545"/>
      <c r="C32" s="1545"/>
      <c r="D32" s="1545"/>
      <c r="E32" s="1545"/>
      <c r="F32" s="934"/>
      <c r="G32" s="934"/>
      <c r="H32" s="934"/>
      <c r="I32" s="934"/>
      <c r="J32" s="934"/>
      <c r="K32" s="934"/>
      <c r="L32" s="934"/>
      <c r="M32" s="934"/>
      <c r="N32" s="934"/>
      <c r="O32" s="934"/>
      <c r="P32" s="934"/>
      <c r="Q32" s="934"/>
      <c r="R32" s="934"/>
      <c r="S32" s="935"/>
    </row>
    <row r="33" spans="1:19" ht="15" hidden="1" customHeight="1" outlineLevel="1" x14ac:dyDescent="0.35">
      <c r="A33" s="1543" t="s">
        <v>414</v>
      </c>
      <c r="B33" s="257" t="s">
        <v>381</v>
      </c>
      <c r="C33" s="455">
        <f t="shared" ref="C33:H33" si="9">+C10</f>
        <v>15</v>
      </c>
      <c r="D33" s="455">
        <f t="shared" si="9"/>
        <v>15</v>
      </c>
      <c r="E33" s="455">
        <f t="shared" si="9"/>
        <v>15</v>
      </c>
      <c r="F33" s="455">
        <f t="shared" si="9"/>
        <v>15</v>
      </c>
      <c r="G33" s="455">
        <f t="shared" si="9"/>
        <v>15</v>
      </c>
      <c r="H33" s="455">
        <f t="shared" si="9"/>
        <v>0</v>
      </c>
      <c r="I33" s="455">
        <f t="shared" ref="I33" si="10">+I10</f>
        <v>0</v>
      </c>
      <c r="J33" s="411"/>
      <c r="K33" s="1514" t="str">
        <f>+K10</f>
        <v>Memorial Day - Labor Day</v>
      </c>
      <c r="L33" s="1514"/>
      <c r="M33" s="1514"/>
      <c r="N33" s="1514"/>
      <c r="O33" s="1514"/>
      <c r="P33" s="1514"/>
      <c r="Q33" s="1514"/>
      <c r="R33" s="1514"/>
      <c r="S33" s="1532"/>
    </row>
    <row r="34" spans="1:19" hidden="1" outlineLevel="1" x14ac:dyDescent="0.35">
      <c r="A34" s="1543"/>
      <c r="B34" s="257" t="s">
        <v>382</v>
      </c>
      <c r="C34" s="452">
        <v>1</v>
      </c>
      <c r="D34" s="452">
        <v>1</v>
      </c>
      <c r="E34" s="452">
        <v>1</v>
      </c>
      <c r="F34" s="452">
        <v>1</v>
      </c>
      <c r="G34" s="452">
        <v>1</v>
      </c>
      <c r="H34" s="452">
        <v>1</v>
      </c>
      <c r="I34" s="452">
        <v>1</v>
      </c>
      <c r="J34" s="408"/>
      <c r="K34" s="1514"/>
      <c r="L34" s="1514"/>
      <c r="M34" s="1514"/>
      <c r="N34" s="1514"/>
      <c r="O34" s="1514"/>
      <c r="P34" s="1514"/>
      <c r="Q34" s="1514"/>
      <c r="R34" s="1514"/>
      <c r="S34" s="1532"/>
    </row>
    <row r="35" spans="1:19" hidden="1" outlineLevel="1" x14ac:dyDescent="0.35">
      <c r="A35" s="1542"/>
      <c r="B35" s="263" t="s">
        <v>393</v>
      </c>
      <c r="C35" s="453">
        <f t="shared" ref="C35:H35" si="11">+C33*C34</f>
        <v>15</v>
      </c>
      <c r="D35" s="453">
        <f t="shared" si="11"/>
        <v>15</v>
      </c>
      <c r="E35" s="453">
        <f t="shared" si="11"/>
        <v>15</v>
      </c>
      <c r="F35" s="453">
        <f t="shared" si="11"/>
        <v>15</v>
      </c>
      <c r="G35" s="453">
        <f t="shared" si="11"/>
        <v>15</v>
      </c>
      <c r="H35" s="453">
        <f t="shared" si="11"/>
        <v>0</v>
      </c>
      <c r="I35" s="453">
        <f t="shared" ref="I35" si="12">+I33*I34</f>
        <v>0</v>
      </c>
      <c r="J35" s="409"/>
      <c r="K35" s="263"/>
      <c r="L35" s="263"/>
      <c r="M35" s="264"/>
      <c r="N35" s="263"/>
      <c r="O35" s="264"/>
      <c r="P35" s="263"/>
      <c r="Q35" s="264"/>
      <c r="R35" s="263"/>
      <c r="S35" s="265"/>
    </row>
    <row r="36" spans="1:19" hidden="1" outlineLevel="1" x14ac:dyDescent="0.35">
      <c r="A36" s="1560" t="s">
        <v>200</v>
      </c>
      <c r="B36" s="122" t="s">
        <v>394</v>
      </c>
      <c r="C36" s="458">
        <v>3</v>
      </c>
      <c r="D36" s="458">
        <v>3</v>
      </c>
      <c r="E36" s="458">
        <v>3</v>
      </c>
      <c r="F36" s="458">
        <v>3</v>
      </c>
      <c r="G36" s="458">
        <v>3</v>
      </c>
      <c r="H36" s="458">
        <v>3</v>
      </c>
      <c r="I36" s="458">
        <v>3</v>
      </c>
      <c r="J36" s="132"/>
      <c r="K36" s="122" t="s">
        <v>201</v>
      </c>
      <c r="M36" s="175"/>
      <c r="N36" s="122"/>
      <c r="O36" s="175"/>
      <c r="P36" s="122"/>
      <c r="Q36" s="175"/>
      <c r="R36" s="122"/>
      <c r="S36" s="260"/>
    </row>
    <row r="37" spans="1:19" hidden="1" outlineLevel="1" x14ac:dyDescent="0.35">
      <c r="A37" s="1542"/>
      <c r="B37" s="263" t="s">
        <v>395</v>
      </c>
      <c r="C37" s="459">
        <v>50</v>
      </c>
      <c r="D37" s="459">
        <v>50</v>
      </c>
      <c r="E37" s="459">
        <v>50</v>
      </c>
      <c r="F37" s="459">
        <v>50</v>
      </c>
      <c r="G37" s="985">
        <f>+G24</f>
        <v>62</v>
      </c>
      <c r="H37" s="985">
        <f>+H24</f>
        <v>62</v>
      </c>
      <c r="I37" s="985">
        <f>+I24</f>
        <v>62</v>
      </c>
      <c r="J37" s="413"/>
      <c r="K37" s="263"/>
      <c r="L37" s="263"/>
      <c r="M37" s="264"/>
      <c r="N37" s="263"/>
      <c r="O37" s="264"/>
      <c r="P37" s="263"/>
      <c r="Q37" s="264"/>
      <c r="R37" s="263"/>
      <c r="S37" s="265"/>
    </row>
    <row r="38" spans="1:19" ht="15" hidden="1" outlineLevel="1" thickBot="1" x14ac:dyDescent="0.4">
      <c r="A38" s="289" t="s">
        <v>193</v>
      </c>
      <c r="B38" s="287" t="s">
        <v>203</v>
      </c>
      <c r="C38" s="462">
        <f t="shared" ref="C38:F38" si="13">+C35*C36*C37</f>
        <v>2250</v>
      </c>
      <c r="D38" s="462">
        <f t="shared" si="13"/>
        <v>2250</v>
      </c>
      <c r="E38" s="462">
        <f t="shared" si="13"/>
        <v>2250</v>
      </c>
      <c r="F38" s="462">
        <f t="shared" si="13"/>
        <v>2250</v>
      </c>
      <c r="G38" s="462">
        <f>ROUND(+G35*G36*G37,0)</f>
        <v>2790</v>
      </c>
      <c r="H38" s="462">
        <f>ROUND(+H35*H36*H37,0)</f>
        <v>0</v>
      </c>
      <c r="I38" s="462">
        <f>ROUND(+I35*I36*I37,0)</f>
        <v>0</v>
      </c>
      <c r="J38" s="414"/>
      <c r="K38" s="175"/>
      <c r="L38" s="175"/>
      <c r="M38" s="175"/>
      <c r="N38" s="175"/>
      <c r="O38" s="175"/>
      <c r="P38" s="175"/>
      <c r="Q38" s="175"/>
      <c r="R38" s="175"/>
      <c r="S38" s="288"/>
    </row>
    <row r="39" spans="1:19" ht="15" hidden="1" customHeight="1" outlineLevel="1" x14ac:dyDescent="0.35">
      <c r="A39" s="1541" t="s">
        <v>200</v>
      </c>
      <c r="B39" s="290" t="s">
        <v>205</v>
      </c>
      <c r="C39" s="463">
        <v>2</v>
      </c>
      <c r="D39" s="463">
        <v>2</v>
      </c>
      <c r="E39" s="463">
        <v>2</v>
      </c>
      <c r="F39" s="463">
        <v>2</v>
      </c>
      <c r="G39" s="463">
        <v>2</v>
      </c>
      <c r="H39" s="463">
        <v>2</v>
      </c>
      <c r="I39" s="463">
        <v>2</v>
      </c>
      <c r="J39" s="415"/>
      <c r="K39" s="290" t="s">
        <v>201</v>
      </c>
      <c r="L39" s="290"/>
      <c r="M39" s="291"/>
      <c r="N39" s="290"/>
      <c r="O39" s="291"/>
      <c r="P39" s="290"/>
      <c r="Q39" s="291"/>
      <c r="R39" s="290"/>
      <c r="S39" s="292"/>
    </row>
    <row r="40" spans="1:19" ht="15" hidden="1" customHeight="1" outlineLevel="1" x14ac:dyDescent="0.35">
      <c r="A40" s="1542"/>
      <c r="B40" s="263" t="s">
        <v>204</v>
      </c>
      <c r="C40" s="459">
        <v>25</v>
      </c>
      <c r="D40" s="459">
        <v>25</v>
      </c>
      <c r="E40" s="459">
        <v>25</v>
      </c>
      <c r="F40" s="459">
        <v>25</v>
      </c>
      <c r="G40" s="459">
        <v>25</v>
      </c>
      <c r="H40" s="459">
        <v>25</v>
      </c>
      <c r="I40" s="459">
        <v>25</v>
      </c>
      <c r="J40" s="413"/>
      <c r="K40" s="263"/>
      <c r="L40" s="263"/>
      <c r="M40" s="264"/>
      <c r="N40" s="263"/>
      <c r="O40" s="264"/>
      <c r="P40" s="263"/>
      <c r="Q40" s="264"/>
      <c r="R40" s="263"/>
      <c r="S40" s="265"/>
    </row>
    <row r="41" spans="1:19" ht="15" hidden="1" outlineLevel="1" thickBot="1" x14ac:dyDescent="0.4">
      <c r="A41" s="293" t="s">
        <v>193</v>
      </c>
      <c r="B41" s="294" t="s">
        <v>206</v>
      </c>
      <c r="C41" s="464">
        <f>+C33*C39*C40</f>
        <v>750</v>
      </c>
      <c r="D41" s="464">
        <f>+D33*D39*D40</f>
        <v>750</v>
      </c>
      <c r="E41" s="464">
        <f>+E33*E39*E40</f>
        <v>750</v>
      </c>
      <c r="F41" s="464">
        <f>+F33*F39*F40</f>
        <v>750</v>
      </c>
      <c r="G41" s="464">
        <f>ROUND(+G35*G39*G40,0)</f>
        <v>750</v>
      </c>
      <c r="H41" s="464">
        <f>ROUND(+H35*H39*H40,0)</f>
        <v>0</v>
      </c>
      <c r="I41" s="464">
        <f>ROUND(+I35*I39*I40,0)</f>
        <v>0</v>
      </c>
      <c r="J41" s="416"/>
      <c r="K41" s="295"/>
      <c r="L41" s="295"/>
      <c r="M41" s="295"/>
      <c r="N41" s="295"/>
      <c r="O41" s="295"/>
      <c r="P41" s="295"/>
      <c r="Q41" s="295"/>
      <c r="R41" s="295"/>
      <c r="S41" s="296"/>
    </row>
    <row r="42" spans="1:19" ht="15" hidden="1" customHeight="1" outlineLevel="1" x14ac:dyDescent="0.35">
      <c r="A42" s="1541" t="s">
        <v>200</v>
      </c>
      <c r="B42" s="290" t="s">
        <v>564</v>
      </c>
      <c r="C42" s="463">
        <v>2</v>
      </c>
      <c r="D42" s="463">
        <v>2</v>
      </c>
      <c r="E42" s="463">
        <v>2</v>
      </c>
      <c r="F42" s="463">
        <v>2</v>
      </c>
      <c r="G42" s="463">
        <v>1</v>
      </c>
      <c r="H42" s="463">
        <v>1</v>
      </c>
      <c r="I42" s="463">
        <v>1</v>
      </c>
      <c r="J42" s="415"/>
      <c r="K42" s="290"/>
      <c r="L42" s="290"/>
      <c r="M42" s="291"/>
      <c r="N42" s="290"/>
      <c r="O42" s="291"/>
      <c r="P42" s="290"/>
      <c r="Q42" s="291"/>
      <c r="R42" s="290"/>
      <c r="S42" s="292"/>
    </row>
    <row r="43" spans="1:19" ht="15" hidden="1" customHeight="1" outlineLevel="1" x14ac:dyDescent="0.35">
      <c r="A43" s="1542"/>
      <c r="B43" s="263" t="s">
        <v>569</v>
      </c>
      <c r="C43" s="459">
        <v>25</v>
      </c>
      <c r="D43" s="459">
        <v>25</v>
      </c>
      <c r="E43" s="459">
        <v>25</v>
      </c>
      <c r="F43" s="459">
        <v>25</v>
      </c>
      <c r="G43" s="985">
        <f>+G24</f>
        <v>62</v>
      </c>
      <c r="H43" s="985">
        <f>+H24</f>
        <v>62</v>
      </c>
      <c r="I43" s="985">
        <f>+I24</f>
        <v>62</v>
      </c>
      <c r="J43" s="413"/>
      <c r="K43" s="263"/>
      <c r="L43" s="263"/>
      <c r="M43" s="264"/>
      <c r="N43" s="263"/>
      <c r="O43" s="264"/>
      <c r="P43" s="263"/>
      <c r="Q43" s="264"/>
      <c r="R43" s="263"/>
      <c r="S43" s="265"/>
    </row>
    <row r="44" spans="1:19" ht="15" hidden="1" outlineLevel="1" thickBot="1" x14ac:dyDescent="0.4">
      <c r="A44" s="293" t="s">
        <v>193</v>
      </c>
      <c r="B44" s="294" t="s">
        <v>565</v>
      </c>
      <c r="C44" s="464">
        <f>+C36*C42*C43</f>
        <v>150</v>
      </c>
      <c r="D44" s="464">
        <f>+D36*D42*D43</f>
        <v>150</v>
      </c>
      <c r="E44" s="464">
        <f>+E36*E42*E43</f>
        <v>150</v>
      </c>
      <c r="F44" s="464">
        <f>+F36*F42*F43</f>
        <v>150</v>
      </c>
      <c r="G44" s="464">
        <f>ROUND(+G35*G42*G43,0)</f>
        <v>930</v>
      </c>
      <c r="H44" s="464">
        <f>ROUND(+H35*H42*H43,0)</f>
        <v>0</v>
      </c>
      <c r="I44" s="464">
        <f>ROUND(+I35*I42*I43,0)</f>
        <v>0</v>
      </c>
      <c r="J44" s="416"/>
      <c r="K44" s="295"/>
      <c r="L44" s="295"/>
      <c r="M44" s="295"/>
      <c r="N44" s="295"/>
      <c r="O44" s="295"/>
      <c r="P44" s="295"/>
      <c r="Q44" s="295"/>
      <c r="R44" s="295"/>
      <c r="S44" s="296"/>
    </row>
    <row r="45" spans="1:19" ht="15" hidden="1" outlineLevel="1" thickBot="1" x14ac:dyDescent="0.4">
      <c r="A45" s="276" t="s">
        <v>193</v>
      </c>
      <c r="B45" s="269" t="s">
        <v>566</v>
      </c>
      <c r="C45" s="465">
        <f>+C38+C41</f>
        <v>3000</v>
      </c>
      <c r="D45" s="465">
        <f>+D38+D41</f>
        <v>3000</v>
      </c>
      <c r="E45" s="466">
        <f>+E38+E41</f>
        <v>3000</v>
      </c>
      <c r="F45" s="466">
        <f>+F38+F41</f>
        <v>3000</v>
      </c>
      <c r="G45" s="466">
        <f>+G38+G41+G44</f>
        <v>4470</v>
      </c>
      <c r="H45" s="466">
        <f>+H38+H41+H44</f>
        <v>0</v>
      </c>
      <c r="I45" s="466">
        <f>+I38+I41+I44</f>
        <v>0</v>
      </c>
      <c r="J45" s="421"/>
      <c r="K45" s="380"/>
      <c r="L45" s="380"/>
      <c r="M45" s="380"/>
      <c r="N45" s="380"/>
      <c r="O45" s="380"/>
      <c r="P45" s="380"/>
      <c r="Q45" s="380"/>
      <c r="R45" s="380"/>
      <c r="S45" s="418"/>
    </row>
    <row r="46" spans="1:19" ht="15.5" collapsed="1" thickTop="1" thickBot="1" x14ac:dyDescent="0.4">
      <c r="A46" s="1544" t="s">
        <v>493</v>
      </c>
      <c r="B46" s="1545"/>
      <c r="C46" s="1545"/>
      <c r="D46" s="1545"/>
      <c r="E46" s="1545"/>
      <c r="F46" s="934"/>
      <c r="G46" s="934"/>
      <c r="H46" s="934"/>
      <c r="I46" s="934"/>
      <c r="J46" s="934"/>
      <c r="K46" s="934"/>
      <c r="L46" s="934"/>
      <c r="M46" s="934"/>
      <c r="N46" s="934"/>
      <c r="O46" s="934"/>
      <c r="P46" s="934"/>
      <c r="Q46" s="934"/>
      <c r="R46" s="934"/>
      <c r="S46" s="935"/>
    </row>
    <row r="47" spans="1:19" ht="15" customHeight="1" x14ac:dyDescent="0.35">
      <c r="A47" s="1546" t="s">
        <v>414</v>
      </c>
      <c r="B47" s="290" t="s">
        <v>381</v>
      </c>
      <c r="C47" s="883">
        <f>+C19</f>
        <v>37</v>
      </c>
      <c r="D47" s="883">
        <f>+D19</f>
        <v>37</v>
      </c>
      <c r="E47" s="883">
        <f>+E19</f>
        <v>37</v>
      </c>
      <c r="F47" s="883">
        <v>0</v>
      </c>
      <c r="G47" s="883">
        <f>+G6</f>
        <v>52</v>
      </c>
      <c r="H47" s="883">
        <f>+H6</f>
        <v>52</v>
      </c>
      <c r="I47" s="883">
        <f>+I6</f>
        <v>52</v>
      </c>
      <c r="J47" s="884"/>
      <c r="K47" s="1549" t="str">
        <f>+K19</f>
        <v>One day per week (excl Lent/Advent services)</v>
      </c>
      <c r="L47" s="1549"/>
      <c r="M47" s="1549"/>
      <c r="N47" s="1549"/>
      <c r="O47" s="1549"/>
      <c r="P47" s="1549"/>
      <c r="Q47" s="1549"/>
      <c r="R47" s="1549"/>
      <c r="S47" s="1550"/>
    </row>
    <row r="48" spans="1:19" x14ac:dyDescent="0.35">
      <c r="A48" s="1547"/>
      <c r="B48" s="257" t="s">
        <v>382</v>
      </c>
      <c r="C48" s="452">
        <v>1</v>
      </c>
      <c r="D48" s="452">
        <v>1</v>
      </c>
      <c r="E48" s="452">
        <v>1</v>
      </c>
      <c r="F48" s="452">
        <v>1</v>
      </c>
      <c r="G48" s="452">
        <v>1</v>
      </c>
      <c r="H48" s="452">
        <v>1</v>
      </c>
      <c r="I48" s="452">
        <v>1</v>
      </c>
      <c r="J48" s="408"/>
      <c r="K48" s="1514"/>
      <c r="L48" s="1514"/>
      <c r="M48" s="1514"/>
      <c r="N48" s="1514"/>
      <c r="O48" s="1514"/>
      <c r="P48" s="1514"/>
      <c r="Q48" s="1514"/>
      <c r="R48" s="1514"/>
      <c r="S48" s="1551"/>
    </row>
    <row r="49" spans="1:19" ht="15" thickBot="1" x14ac:dyDescent="0.4">
      <c r="A49" s="1548"/>
      <c r="B49" s="263" t="s">
        <v>393</v>
      </c>
      <c r="C49" s="453">
        <f t="shared" ref="C49:H49" si="14">+C47*C48</f>
        <v>37</v>
      </c>
      <c r="D49" s="453">
        <f t="shared" si="14"/>
        <v>37</v>
      </c>
      <c r="E49" s="453">
        <f t="shared" si="14"/>
        <v>37</v>
      </c>
      <c r="F49" s="453">
        <f t="shared" si="14"/>
        <v>0</v>
      </c>
      <c r="G49" s="453">
        <f t="shared" si="14"/>
        <v>52</v>
      </c>
      <c r="H49" s="453">
        <f t="shared" si="14"/>
        <v>52</v>
      </c>
      <c r="I49" s="453">
        <f t="shared" ref="I49" si="15">+I47*I48</f>
        <v>52</v>
      </c>
      <c r="J49" s="409"/>
      <c r="K49" s="263"/>
      <c r="L49" s="263"/>
      <c r="M49" s="264"/>
      <c r="N49" s="263"/>
      <c r="O49" s="264"/>
      <c r="P49" s="263"/>
      <c r="Q49" s="264"/>
      <c r="R49" s="263"/>
      <c r="S49" s="885"/>
    </row>
    <row r="50" spans="1:19" ht="15" customHeight="1" x14ac:dyDescent="0.35">
      <c r="A50" s="1546" t="s">
        <v>200</v>
      </c>
      <c r="B50" s="290" t="s">
        <v>485</v>
      </c>
      <c r="C50" s="463">
        <v>2</v>
      </c>
      <c r="D50" s="463">
        <v>2</v>
      </c>
      <c r="E50" s="463">
        <v>2</v>
      </c>
      <c r="F50" s="463">
        <v>0</v>
      </c>
      <c r="G50" s="463">
        <v>1</v>
      </c>
      <c r="H50" s="463">
        <v>1</v>
      </c>
      <c r="I50" s="463">
        <v>1</v>
      </c>
      <c r="J50" s="415"/>
      <c r="K50" s="290" t="s">
        <v>201</v>
      </c>
      <c r="L50" s="290"/>
      <c r="M50" s="291"/>
      <c r="N50" s="290"/>
      <c r="O50" s="291"/>
      <c r="P50" s="290"/>
      <c r="Q50" s="291"/>
      <c r="R50" s="290"/>
      <c r="S50" s="886"/>
    </row>
    <row r="51" spans="1:19" ht="15" customHeight="1" x14ac:dyDescent="0.35">
      <c r="A51" s="1548"/>
      <c r="B51" s="263" t="s">
        <v>505</v>
      </c>
      <c r="C51" s="459">
        <v>25</v>
      </c>
      <c r="D51" s="459">
        <v>25</v>
      </c>
      <c r="E51" s="459">
        <v>25</v>
      </c>
      <c r="F51" s="459">
        <v>2759</v>
      </c>
      <c r="G51" s="985">
        <f>+G24</f>
        <v>62</v>
      </c>
      <c r="H51" s="985">
        <f>+H24</f>
        <v>62</v>
      </c>
      <c r="I51" s="985">
        <f>+I24</f>
        <v>62</v>
      </c>
      <c r="J51" s="413"/>
      <c r="K51" s="263"/>
      <c r="L51" s="263"/>
      <c r="M51" s="264"/>
      <c r="N51" s="263"/>
      <c r="O51" s="264"/>
      <c r="P51" s="263"/>
      <c r="Q51" s="264"/>
      <c r="R51" s="263"/>
      <c r="S51" s="885"/>
    </row>
    <row r="52" spans="1:19" ht="15" thickBot="1" x14ac:dyDescent="0.4">
      <c r="A52" s="887" t="s">
        <v>193</v>
      </c>
      <c r="B52" s="294" t="s">
        <v>486</v>
      </c>
      <c r="C52" s="464">
        <f>+C41*C50*C51</f>
        <v>37500</v>
      </c>
      <c r="D52" s="464">
        <f>+D41*D50*D51</f>
        <v>37500</v>
      </c>
      <c r="E52" s="464">
        <f>+E41*E50*E51</f>
        <v>37500</v>
      </c>
      <c r="F52" s="936">
        <f>+F51</f>
        <v>2759</v>
      </c>
      <c r="G52" s="936">
        <f>ROUND(+G49*G50*G51,0)</f>
        <v>3224</v>
      </c>
      <c r="H52" s="936">
        <f>ROUND(+H49*H50*H51,0)</f>
        <v>3224</v>
      </c>
      <c r="I52" s="936">
        <f>ROUND(+I49*I50*I51,0)</f>
        <v>3224</v>
      </c>
      <c r="J52" s="416"/>
      <c r="K52" s="295"/>
      <c r="L52" s="295"/>
      <c r="M52" s="295"/>
      <c r="N52" s="295"/>
      <c r="O52" s="295"/>
      <c r="P52" s="295"/>
      <c r="Q52" s="295"/>
      <c r="R52" s="295"/>
      <c r="S52" s="888"/>
    </row>
    <row r="53" spans="1:19" ht="15" thickBot="1" x14ac:dyDescent="0.4">
      <c r="A53" s="1552" t="s">
        <v>494</v>
      </c>
      <c r="B53" s="1553"/>
      <c r="C53" s="1553"/>
      <c r="D53" s="1553"/>
      <c r="E53" s="1553"/>
      <c r="F53" s="870"/>
      <c r="G53" s="870"/>
      <c r="H53" s="870"/>
      <c r="I53" s="870"/>
      <c r="J53" s="870"/>
      <c r="K53" s="870"/>
      <c r="L53" s="870"/>
      <c r="M53" s="870"/>
      <c r="N53" s="870"/>
      <c r="O53" s="870"/>
      <c r="P53" s="870"/>
      <c r="Q53" s="870"/>
      <c r="R53" s="870"/>
      <c r="S53" s="871"/>
    </row>
    <row r="54" spans="1:19" x14ac:dyDescent="0.35">
      <c r="A54" s="872"/>
      <c r="B54" s="889" t="s">
        <v>487</v>
      </c>
      <c r="C54" s="873"/>
      <c r="D54" s="873"/>
      <c r="E54" s="873"/>
      <c r="F54" s="873"/>
      <c r="G54" s="874">
        <v>125</v>
      </c>
      <c r="H54" s="874">
        <v>125</v>
      </c>
      <c r="I54" s="874">
        <v>125</v>
      </c>
      <c r="J54" s="873"/>
      <c r="K54" s="291" t="s">
        <v>488</v>
      </c>
      <c r="L54" s="291"/>
      <c r="M54" s="291"/>
      <c r="N54" s="291"/>
      <c r="O54" s="291"/>
      <c r="P54" s="291"/>
      <c r="Q54" s="291"/>
      <c r="R54" s="291"/>
      <c r="S54" s="875"/>
    </row>
    <row r="55" spans="1:19" ht="15" thickBot="1" x14ac:dyDescent="0.4">
      <c r="A55" s="876"/>
      <c r="B55" s="890" t="s">
        <v>489</v>
      </c>
      <c r="C55" s="877"/>
      <c r="D55" s="877"/>
      <c r="E55" s="877"/>
      <c r="F55" s="877">
        <v>3000</v>
      </c>
      <c r="G55" s="937">
        <f>ROUND(+G54*9,0)</f>
        <v>1125</v>
      </c>
      <c r="H55" s="937">
        <f>ROUND(+H54*9,0)</f>
        <v>1125</v>
      </c>
      <c r="I55" s="937">
        <f>ROUND(+I54*9,0)</f>
        <v>1125</v>
      </c>
      <c r="J55" s="877"/>
      <c r="K55" s="878"/>
      <c r="L55" s="878"/>
      <c r="M55" s="878"/>
      <c r="N55" s="878"/>
      <c r="O55" s="878"/>
      <c r="P55" s="878"/>
      <c r="Q55" s="878"/>
      <c r="R55" s="878"/>
      <c r="S55" s="879"/>
    </row>
    <row r="56" spans="1:19" ht="15" thickBot="1" x14ac:dyDescent="0.4">
      <c r="A56" s="938" t="s">
        <v>490</v>
      </c>
      <c r="B56" s="939"/>
      <c r="C56" s="940"/>
      <c r="D56" s="940"/>
      <c r="E56" s="940"/>
      <c r="F56" s="941">
        <f>+F45+F52+F55</f>
        <v>8759</v>
      </c>
      <c r="G56" s="941">
        <f>+G45+G52+G55</f>
        <v>8819</v>
      </c>
      <c r="H56" s="941">
        <f>+H45+H52+H55</f>
        <v>4349</v>
      </c>
      <c r="I56" s="941">
        <f>+I45+I52+I55</f>
        <v>4349</v>
      </c>
      <c r="J56" s="880"/>
      <c r="K56" s="881"/>
      <c r="L56" s="881"/>
      <c r="M56" s="881"/>
      <c r="N56" s="881"/>
      <c r="O56" s="881"/>
      <c r="P56" s="881"/>
      <c r="Q56" s="881"/>
      <c r="R56" s="881"/>
      <c r="S56" s="882"/>
    </row>
    <row r="57" spans="1:19" ht="15" thickBot="1" x14ac:dyDescent="0.4">
      <c r="A57" s="1178" t="s">
        <v>692</v>
      </c>
      <c r="B57" s="1179"/>
      <c r="C57" s="1180"/>
      <c r="D57" s="1180"/>
      <c r="E57" s="1180"/>
      <c r="F57" s="1180"/>
      <c r="G57" s="1180">
        <f>+G30+G56</f>
        <v>26675</v>
      </c>
      <c r="H57" s="1180">
        <f>+H30+H56</f>
        <v>23941</v>
      </c>
      <c r="I57" s="1180">
        <f>+I30+I56</f>
        <v>23941</v>
      </c>
      <c r="J57" s="1180"/>
      <c r="K57" s="1181"/>
      <c r="L57" s="1181"/>
      <c r="M57" s="1181"/>
      <c r="N57" s="1181"/>
      <c r="O57" s="1181"/>
      <c r="P57" s="1181"/>
      <c r="Q57" s="1181"/>
      <c r="R57" s="1181"/>
      <c r="S57" s="1182"/>
    </row>
    <row r="58" spans="1:19" x14ac:dyDescent="0.35">
      <c r="A58" s="869"/>
      <c r="B58" s="196"/>
      <c r="C58" s="424"/>
      <c r="D58" s="424"/>
      <c r="E58" s="424"/>
      <c r="F58" s="424"/>
      <c r="G58" s="424"/>
      <c r="H58" s="424"/>
      <c r="I58" s="424"/>
      <c r="J58" s="424"/>
      <c r="K58" s="154"/>
      <c r="L58" s="154"/>
      <c r="M58" s="154"/>
      <c r="N58" s="154"/>
      <c r="O58" s="154"/>
      <c r="P58" s="154"/>
      <c r="Q58" s="154"/>
      <c r="R58" s="154"/>
      <c r="S58" s="154"/>
    </row>
    <row r="59" spans="1:19" ht="15.5" hidden="1" thickTop="1" thickBot="1" x14ac:dyDescent="0.4">
      <c r="A59" s="1573" t="s">
        <v>171</v>
      </c>
      <c r="B59" s="1574"/>
      <c r="C59" s="1574"/>
      <c r="D59" s="1574"/>
      <c r="E59" s="1574"/>
      <c r="F59" s="942"/>
      <c r="G59" s="942"/>
      <c r="H59" s="942"/>
      <c r="I59" s="942"/>
      <c r="J59" s="942"/>
      <c r="K59" s="942"/>
      <c r="L59" s="942"/>
      <c r="M59" s="942"/>
      <c r="N59" s="942"/>
      <c r="O59" s="942"/>
      <c r="P59" s="942"/>
      <c r="Q59" s="942"/>
      <c r="R59" s="942"/>
      <c r="S59" s="943"/>
    </row>
    <row r="60" spans="1:19" ht="15" hidden="1" customHeight="1" thickTop="1" x14ac:dyDescent="0.35">
      <c r="A60" s="1559" t="s">
        <v>414</v>
      </c>
      <c r="B60" s="271" t="s">
        <v>381</v>
      </c>
      <c r="C60" s="451">
        <f t="shared" ref="C60:H60" si="16">+C12</f>
        <v>37</v>
      </c>
      <c r="D60" s="451">
        <f t="shared" si="16"/>
        <v>37</v>
      </c>
      <c r="E60" s="451">
        <f t="shared" si="16"/>
        <v>37</v>
      </c>
      <c r="F60" s="451">
        <f t="shared" si="16"/>
        <v>37</v>
      </c>
      <c r="G60" s="451">
        <f t="shared" si="16"/>
        <v>37</v>
      </c>
      <c r="H60" s="451">
        <f t="shared" si="16"/>
        <v>52</v>
      </c>
      <c r="I60" s="407"/>
      <c r="J60" s="407"/>
      <c r="K60" s="271"/>
      <c r="L60" s="271" t="s">
        <v>202</v>
      </c>
      <c r="M60" s="272"/>
      <c r="N60" s="271"/>
      <c r="O60" s="272"/>
      <c r="P60" s="271"/>
      <c r="Q60" s="272"/>
      <c r="R60" s="271"/>
      <c r="S60" s="273"/>
    </row>
    <row r="61" spans="1:19" hidden="1" x14ac:dyDescent="0.35">
      <c r="A61" s="1543"/>
      <c r="B61" s="257" t="s">
        <v>382</v>
      </c>
      <c r="C61" s="452">
        <v>1</v>
      </c>
      <c r="D61" s="452">
        <v>1</v>
      </c>
      <c r="E61" s="452">
        <v>1</v>
      </c>
      <c r="F61" s="452">
        <v>1</v>
      </c>
      <c r="G61" s="452">
        <v>1</v>
      </c>
      <c r="H61" s="452">
        <v>1</v>
      </c>
      <c r="I61" s="408"/>
      <c r="J61" s="408"/>
      <c r="K61" s="257"/>
      <c r="L61" s="257"/>
      <c r="M61" s="154"/>
      <c r="N61" s="257"/>
      <c r="O61" s="154"/>
      <c r="P61" s="257"/>
      <c r="Q61" s="154"/>
      <c r="R61" s="257"/>
      <c r="S61" s="261"/>
    </row>
    <row r="62" spans="1:19" hidden="1" x14ac:dyDescent="0.35">
      <c r="A62" s="1542"/>
      <c r="B62" s="263" t="s">
        <v>393</v>
      </c>
      <c r="C62" s="453">
        <f t="shared" ref="C62:H62" si="17">+C60*C61</f>
        <v>37</v>
      </c>
      <c r="D62" s="453">
        <f t="shared" si="17"/>
        <v>37</v>
      </c>
      <c r="E62" s="453">
        <f t="shared" si="17"/>
        <v>37</v>
      </c>
      <c r="F62" s="453">
        <f t="shared" si="17"/>
        <v>37</v>
      </c>
      <c r="G62" s="453">
        <f t="shared" si="17"/>
        <v>37</v>
      </c>
      <c r="H62" s="453">
        <f t="shared" si="17"/>
        <v>52</v>
      </c>
      <c r="I62" s="409"/>
      <c r="J62" s="409"/>
      <c r="K62" s="263"/>
      <c r="L62" s="263"/>
      <c r="M62" s="264"/>
      <c r="N62" s="263"/>
      <c r="O62" s="264"/>
      <c r="P62" s="263"/>
      <c r="Q62" s="264"/>
      <c r="R62" s="263"/>
      <c r="S62" s="265"/>
    </row>
    <row r="63" spans="1:19" hidden="1" x14ac:dyDescent="0.35">
      <c r="A63" s="1560" t="s">
        <v>200</v>
      </c>
      <c r="B63" s="122" t="s">
        <v>396</v>
      </c>
      <c r="C63" s="458">
        <v>1</v>
      </c>
      <c r="D63" s="458">
        <v>1</v>
      </c>
      <c r="E63" s="458">
        <v>1</v>
      </c>
      <c r="F63" s="458">
        <v>1</v>
      </c>
      <c r="G63" s="458">
        <v>0</v>
      </c>
      <c r="H63" s="458">
        <v>0</v>
      </c>
      <c r="I63" s="132"/>
      <c r="J63" s="132"/>
      <c r="K63" s="122"/>
      <c r="L63" s="122"/>
      <c r="M63" s="175"/>
      <c r="N63" s="122"/>
      <c r="O63" s="175"/>
      <c r="P63" s="122"/>
      <c r="Q63" s="175"/>
      <c r="R63" s="122"/>
      <c r="S63" s="260"/>
    </row>
    <row r="64" spans="1:19" hidden="1" x14ac:dyDescent="0.35">
      <c r="A64" s="1542"/>
      <c r="B64" s="263" t="s">
        <v>395</v>
      </c>
      <c r="C64" s="459">
        <v>25</v>
      </c>
      <c r="D64" s="459">
        <v>25</v>
      </c>
      <c r="E64" s="459">
        <v>25</v>
      </c>
      <c r="F64" s="459">
        <v>25</v>
      </c>
      <c r="G64" s="459">
        <v>25</v>
      </c>
      <c r="H64" s="459">
        <v>25</v>
      </c>
      <c r="I64" s="413"/>
      <c r="J64" s="413"/>
      <c r="K64" s="263"/>
      <c r="L64" s="263"/>
      <c r="M64" s="264"/>
      <c r="N64" s="263"/>
      <c r="O64" s="264"/>
      <c r="P64" s="263"/>
      <c r="Q64" s="264"/>
      <c r="R64" s="263"/>
      <c r="S64" s="265"/>
    </row>
    <row r="65" spans="1:19" ht="15" hidden="1" thickBot="1" x14ac:dyDescent="0.4">
      <c r="A65" s="276" t="s">
        <v>193</v>
      </c>
      <c r="B65" s="428" t="s">
        <v>368</v>
      </c>
      <c r="C65" s="460">
        <f t="shared" ref="C65:H65" si="18">+C62*C63*C64</f>
        <v>925</v>
      </c>
      <c r="D65" s="460">
        <f t="shared" si="18"/>
        <v>925</v>
      </c>
      <c r="E65" s="461">
        <f t="shared" si="18"/>
        <v>925</v>
      </c>
      <c r="F65" s="461">
        <f t="shared" si="18"/>
        <v>925</v>
      </c>
      <c r="G65" s="461">
        <f t="shared" si="18"/>
        <v>0</v>
      </c>
      <c r="H65" s="461">
        <f t="shared" si="18"/>
        <v>0</v>
      </c>
      <c r="I65" s="1386"/>
      <c r="J65" s="420"/>
      <c r="K65" s="419"/>
      <c r="L65" s="419"/>
      <c r="M65" s="419"/>
      <c r="N65" s="419"/>
      <c r="O65" s="419"/>
      <c r="P65" s="419"/>
      <c r="Q65" s="419"/>
      <c r="R65" s="419"/>
      <c r="S65" s="422"/>
    </row>
    <row r="66" spans="1:19" ht="15.5" hidden="1" thickTop="1" thickBot="1" x14ac:dyDescent="0.4">
      <c r="A66" s="1533" t="s">
        <v>397</v>
      </c>
      <c r="B66" s="1534"/>
      <c r="C66" s="1534"/>
      <c r="D66" s="1534"/>
      <c r="E66" s="1534"/>
      <c r="F66" s="931"/>
      <c r="G66" s="931"/>
      <c r="H66" s="931"/>
      <c r="I66" s="931"/>
      <c r="J66" s="931"/>
      <c r="K66" s="931"/>
      <c r="L66" s="931"/>
      <c r="M66" s="931"/>
      <c r="N66" s="931"/>
      <c r="O66" s="931"/>
      <c r="P66" s="931"/>
      <c r="Q66" s="931"/>
      <c r="R66" s="931"/>
      <c r="S66" s="932"/>
    </row>
    <row r="67" spans="1:19" ht="15" hidden="1" customHeight="1" thickTop="1" x14ac:dyDescent="0.35">
      <c r="A67" s="1569" t="s">
        <v>414</v>
      </c>
      <c r="B67" s="271" t="s">
        <v>390</v>
      </c>
      <c r="C67" s="451">
        <v>52</v>
      </c>
      <c r="D67" s="451">
        <v>52</v>
      </c>
      <c r="E67" s="451">
        <f>+E6</f>
        <v>52</v>
      </c>
      <c r="F67" s="451">
        <f>+F6</f>
        <v>52</v>
      </c>
      <c r="G67" s="451">
        <f>+G6</f>
        <v>52</v>
      </c>
      <c r="H67" s="984">
        <f>+H6</f>
        <v>52</v>
      </c>
      <c r="I67" s="1387"/>
      <c r="J67" s="407"/>
      <c r="K67" s="271"/>
      <c r="L67" s="271"/>
      <c r="M67" s="272"/>
      <c r="N67" s="271"/>
      <c r="O67" s="272"/>
      <c r="P67" s="271"/>
      <c r="Q67" s="272"/>
      <c r="R67" s="271"/>
      <c r="S67" s="273"/>
    </row>
    <row r="68" spans="1:19" hidden="1" x14ac:dyDescent="0.35">
      <c r="A68" s="1570"/>
      <c r="B68" s="257" t="s">
        <v>382</v>
      </c>
      <c r="C68" s="452">
        <v>2</v>
      </c>
      <c r="D68" s="452">
        <v>2</v>
      </c>
      <c r="E68" s="452">
        <v>2</v>
      </c>
      <c r="F68" s="452">
        <v>2</v>
      </c>
      <c r="G68" s="452">
        <v>2</v>
      </c>
      <c r="H68" s="452">
        <v>2</v>
      </c>
      <c r="I68" s="408"/>
      <c r="J68" s="408"/>
      <c r="K68" s="257"/>
      <c r="L68" s="257"/>
      <c r="M68" s="154"/>
      <c r="N68" s="257"/>
      <c r="O68" s="154"/>
      <c r="P68" s="257"/>
      <c r="Q68" s="154"/>
      <c r="R68" s="257"/>
      <c r="S68" s="261"/>
    </row>
    <row r="69" spans="1:19" hidden="1" x14ac:dyDescent="0.35">
      <c r="A69" s="1570"/>
      <c r="B69" s="263" t="s">
        <v>408</v>
      </c>
      <c r="C69" s="453">
        <f t="shared" ref="C69:H69" si="19">+C67*C68</f>
        <v>104</v>
      </c>
      <c r="D69" s="453">
        <f t="shared" si="19"/>
        <v>104</v>
      </c>
      <c r="E69" s="453">
        <f t="shared" si="19"/>
        <v>104</v>
      </c>
      <c r="F69" s="453">
        <f t="shared" si="19"/>
        <v>104</v>
      </c>
      <c r="G69" s="453">
        <f t="shared" si="19"/>
        <v>104</v>
      </c>
      <c r="H69" s="453">
        <f t="shared" si="19"/>
        <v>104</v>
      </c>
      <c r="I69" s="409"/>
      <c r="J69" s="409"/>
      <c r="K69" s="263"/>
      <c r="L69" s="263"/>
      <c r="M69" s="264"/>
      <c r="N69" s="263"/>
      <c r="O69" s="264"/>
      <c r="P69" s="263"/>
      <c r="Q69" s="264"/>
      <c r="R69" s="263"/>
      <c r="S69" s="265"/>
    </row>
    <row r="70" spans="1:19" hidden="1" x14ac:dyDescent="0.35">
      <c r="A70" s="1570"/>
      <c r="B70" s="122" t="s">
        <v>409</v>
      </c>
      <c r="C70" s="454"/>
      <c r="D70" s="454"/>
      <c r="E70" s="454"/>
      <c r="F70" s="454"/>
      <c r="G70" s="454"/>
      <c r="H70" s="454"/>
      <c r="I70" s="410"/>
      <c r="J70" s="410"/>
      <c r="K70" s="122"/>
      <c r="L70" s="122"/>
      <c r="M70" s="175"/>
      <c r="N70" s="122"/>
      <c r="O70" s="175"/>
      <c r="P70" s="122"/>
      <c r="Q70" s="175"/>
      <c r="R70" s="122"/>
      <c r="S70" s="260"/>
    </row>
    <row r="71" spans="1:19" hidden="1" x14ac:dyDescent="0.35">
      <c r="A71" s="1570"/>
      <c r="B71" s="257" t="s">
        <v>196</v>
      </c>
      <c r="C71" s="455">
        <f t="shared" ref="C71:H72" si="20">+C7</f>
        <v>4</v>
      </c>
      <c r="D71" s="455">
        <f t="shared" si="20"/>
        <v>4</v>
      </c>
      <c r="E71" s="455">
        <f t="shared" si="20"/>
        <v>4</v>
      </c>
      <c r="F71" s="455">
        <f t="shared" si="20"/>
        <v>4</v>
      </c>
      <c r="G71" s="455">
        <f t="shared" si="20"/>
        <v>3</v>
      </c>
      <c r="H71" s="455">
        <f t="shared" si="20"/>
        <v>3</v>
      </c>
      <c r="I71" s="411"/>
      <c r="J71" s="411"/>
      <c r="K71" s="257"/>
      <c r="L71" s="257"/>
      <c r="M71" s="154"/>
      <c r="N71" s="257"/>
      <c r="O71" s="154"/>
      <c r="P71" s="257"/>
      <c r="Q71" s="154"/>
      <c r="R71" s="257"/>
      <c r="S71" s="261"/>
    </row>
    <row r="72" spans="1:19" hidden="1" x14ac:dyDescent="0.35">
      <c r="A72" s="1570"/>
      <c r="B72" s="257" t="s">
        <v>197</v>
      </c>
      <c r="C72" s="455">
        <f t="shared" si="20"/>
        <v>6</v>
      </c>
      <c r="D72" s="455">
        <f t="shared" si="20"/>
        <v>7</v>
      </c>
      <c r="E72" s="455">
        <f t="shared" si="20"/>
        <v>7</v>
      </c>
      <c r="F72" s="455">
        <f t="shared" si="20"/>
        <v>7</v>
      </c>
      <c r="G72" s="455">
        <f t="shared" si="20"/>
        <v>7</v>
      </c>
      <c r="H72" s="455">
        <f t="shared" si="20"/>
        <v>7</v>
      </c>
      <c r="I72" s="411"/>
      <c r="J72" s="411"/>
      <c r="K72" s="257"/>
      <c r="L72" s="257"/>
      <c r="M72" s="154"/>
      <c r="N72" s="257"/>
      <c r="O72" s="154"/>
      <c r="P72" s="257"/>
      <c r="Q72" s="154"/>
      <c r="R72" s="257"/>
      <c r="S72" s="261"/>
    </row>
    <row r="73" spans="1:19" hidden="1" x14ac:dyDescent="0.35">
      <c r="A73" s="1570"/>
      <c r="B73" s="154" t="s">
        <v>198</v>
      </c>
      <c r="C73" s="456">
        <v>20</v>
      </c>
      <c r="D73" s="456">
        <v>20</v>
      </c>
      <c r="E73" s="456">
        <v>20</v>
      </c>
      <c r="F73" s="456">
        <v>0</v>
      </c>
      <c r="G73" s="456">
        <v>0</v>
      </c>
      <c r="H73" s="456">
        <v>0</v>
      </c>
      <c r="I73" s="412"/>
      <c r="J73" s="412"/>
      <c r="K73" s="154" t="s">
        <v>391</v>
      </c>
      <c r="M73" s="154"/>
      <c r="N73" s="154"/>
      <c r="O73" s="154"/>
      <c r="P73" s="154"/>
      <c r="Q73" s="154"/>
      <c r="R73" s="154"/>
      <c r="S73" s="275"/>
    </row>
    <row r="74" spans="1:19" hidden="1" x14ac:dyDescent="0.35">
      <c r="A74" s="1571"/>
      <c r="B74" s="264" t="s">
        <v>410</v>
      </c>
      <c r="C74" s="457">
        <f t="shared" ref="C74:H74" si="21">SUM(C69:C73)</f>
        <v>134</v>
      </c>
      <c r="D74" s="457">
        <f t="shared" si="21"/>
        <v>135</v>
      </c>
      <c r="E74" s="457">
        <f t="shared" si="21"/>
        <v>135</v>
      </c>
      <c r="F74" s="457">
        <f t="shared" si="21"/>
        <v>115</v>
      </c>
      <c r="G74" s="457">
        <f t="shared" si="21"/>
        <v>114</v>
      </c>
      <c r="H74" s="457">
        <f t="shared" si="21"/>
        <v>114</v>
      </c>
      <c r="I74" s="264"/>
      <c r="J74" s="264"/>
      <c r="K74" s="264"/>
      <c r="L74" s="264"/>
      <c r="M74" s="264"/>
      <c r="N74" s="264"/>
      <c r="O74" s="264"/>
      <c r="P74" s="264"/>
      <c r="Q74" s="264"/>
      <c r="R74" s="264"/>
      <c r="S74" s="274"/>
    </row>
    <row r="75" spans="1:19" hidden="1" x14ac:dyDescent="0.35">
      <c r="A75" s="1560" t="s">
        <v>200</v>
      </c>
      <c r="B75" s="122" t="s">
        <v>412</v>
      </c>
      <c r="C75" s="458">
        <v>1</v>
      </c>
      <c r="D75" s="458">
        <v>1</v>
      </c>
      <c r="E75" s="458">
        <v>1</v>
      </c>
      <c r="F75" s="458">
        <v>2</v>
      </c>
      <c r="G75" s="458">
        <v>0</v>
      </c>
      <c r="H75" s="458">
        <v>0</v>
      </c>
      <c r="I75" s="132"/>
      <c r="J75" s="132"/>
      <c r="K75" s="122" t="s">
        <v>411</v>
      </c>
      <c r="L75" s="122"/>
      <c r="M75" s="175"/>
      <c r="N75" s="122"/>
      <c r="O75" s="175"/>
      <c r="P75" s="122"/>
      <c r="Q75" s="175"/>
      <c r="R75" s="122"/>
      <c r="S75" s="260"/>
    </row>
    <row r="76" spans="1:19" hidden="1" x14ac:dyDescent="0.35">
      <c r="A76" s="1542"/>
      <c r="B76" s="263" t="s">
        <v>392</v>
      </c>
      <c r="C76" s="459">
        <v>25</v>
      </c>
      <c r="D76" s="459">
        <v>25</v>
      </c>
      <c r="E76" s="459">
        <v>25</v>
      </c>
      <c r="F76" s="459">
        <v>25</v>
      </c>
      <c r="G76" s="459">
        <v>25</v>
      </c>
      <c r="H76" s="459">
        <v>25</v>
      </c>
      <c r="I76" s="413"/>
      <c r="J76" s="413"/>
      <c r="K76" s="263"/>
      <c r="L76" s="263"/>
      <c r="M76" s="264"/>
      <c r="N76" s="263"/>
      <c r="O76" s="264"/>
      <c r="P76" s="263"/>
      <c r="Q76" s="264"/>
      <c r="R76" s="263"/>
      <c r="S76" s="265"/>
    </row>
    <row r="77" spans="1:19" ht="15" hidden="1" thickBot="1" x14ac:dyDescent="0.4">
      <c r="A77" s="276" t="s">
        <v>193</v>
      </c>
      <c r="B77" s="428" t="s">
        <v>413</v>
      </c>
      <c r="C77" s="460">
        <f t="shared" ref="C77:H77" si="22">+C74*C75*C76</f>
        <v>3350</v>
      </c>
      <c r="D77" s="460">
        <f t="shared" si="22"/>
        <v>3375</v>
      </c>
      <c r="E77" s="461">
        <f t="shared" si="22"/>
        <v>3375</v>
      </c>
      <c r="F77" s="933">
        <f t="shared" si="22"/>
        <v>5750</v>
      </c>
      <c r="G77" s="933">
        <f t="shared" si="22"/>
        <v>0</v>
      </c>
      <c r="H77" s="933">
        <f t="shared" si="22"/>
        <v>0</v>
      </c>
      <c r="I77" s="1388"/>
      <c r="J77" s="420"/>
      <c r="K77" s="419"/>
      <c r="L77" s="1530"/>
      <c r="M77" s="1530"/>
      <c r="N77" s="1530"/>
      <c r="O77" s="1530"/>
      <c r="P77" s="1530"/>
      <c r="Q77" s="1530"/>
      <c r="R77" s="1530"/>
      <c r="S77" s="1531"/>
    </row>
    <row r="78" spans="1:19" x14ac:dyDescent="0.35">
      <c r="C78" s="258"/>
      <c r="D78" s="258"/>
      <c r="E78" s="258"/>
      <c r="F78" s="258"/>
      <c r="G78" s="258"/>
      <c r="H78" s="258"/>
      <c r="I78" s="258"/>
      <c r="J78" s="423"/>
      <c r="K78" s="173"/>
      <c r="L78" s="173"/>
      <c r="M78" s="173"/>
      <c r="N78" s="173"/>
      <c r="O78" s="173"/>
      <c r="P78" s="173"/>
      <c r="Q78" s="173"/>
      <c r="R78" s="173"/>
      <c r="S78" s="173"/>
    </row>
    <row r="79" spans="1:19" ht="15.5" hidden="1" thickTop="1" thickBot="1" x14ac:dyDescent="0.4">
      <c r="A79" s="1561" t="s">
        <v>234</v>
      </c>
      <c r="B79" s="1562"/>
      <c r="C79" s="944" t="e">
        <f>+#REF!+C30+C77+C45+C65</f>
        <v>#REF!</v>
      </c>
      <c r="D79" s="945" t="e">
        <f>+#REF!+D30+D77+D45+D65</f>
        <v>#REF!</v>
      </c>
      <c r="E79" s="944" t="e">
        <f>+#REF!+E30+E77+E45+E65</f>
        <v>#REF!</v>
      </c>
      <c r="F79" s="946" t="e">
        <f>+#REF!+F30+F77+F56+F65</f>
        <v>#REF!</v>
      </c>
      <c r="G79" s="946" t="e">
        <f>+#REF!+G30+G77+G56+G65</f>
        <v>#REF!</v>
      </c>
      <c r="H79" s="946" t="e">
        <f>+#REF!+H30+H77+H56+H65</f>
        <v>#REF!</v>
      </c>
      <c r="I79" s="1389"/>
      <c r="J79" s="424"/>
      <c r="K79" s="154"/>
      <c r="L79" s="154"/>
      <c r="M79" s="154"/>
      <c r="N79" s="154"/>
      <c r="O79" s="154"/>
      <c r="P79" s="154"/>
      <c r="Q79" s="154"/>
      <c r="R79" s="154"/>
      <c r="S79" s="154"/>
    </row>
    <row r="80" spans="1:19" ht="15" hidden="1" thickTop="1" x14ac:dyDescent="0.35">
      <c r="A80" s="1555" t="s">
        <v>235</v>
      </c>
      <c r="B80" s="1556"/>
      <c r="C80" s="379"/>
      <c r="D80" s="379"/>
      <c r="E80" s="731" t="e">
        <f>+E79-D79</f>
        <v>#REF!</v>
      </c>
      <c r="F80" s="729" t="e">
        <f>+F79-D79</f>
        <v>#REF!</v>
      </c>
      <c r="G80" s="729" t="e">
        <f>+G79-E79</f>
        <v>#REF!</v>
      </c>
      <c r="H80" s="729" t="e">
        <f>+H79-F79</f>
        <v>#REF!</v>
      </c>
      <c r="I80" s="424"/>
      <c r="J80" s="424"/>
      <c r="K80" s="154"/>
      <c r="L80" s="154"/>
      <c r="M80" s="154"/>
      <c r="N80" s="154"/>
      <c r="O80" s="154"/>
      <c r="P80" s="154"/>
      <c r="Q80" s="154"/>
      <c r="R80" s="154"/>
      <c r="S80" s="154"/>
    </row>
    <row r="81" spans="1:19" ht="15" hidden="1" thickBot="1" x14ac:dyDescent="0.4">
      <c r="A81" s="1557"/>
      <c r="B81" s="1558"/>
      <c r="C81" s="421"/>
      <c r="D81" s="421"/>
      <c r="E81" s="732" t="e">
        <f>+E80/D79</f>
        <v>#REF!</v>
      </c>
      <c r="F81" s="730" t="e">
        <f>+F80/D79</f>
        <v>#REF!</v>
      </c>
      <c r="G81" s="730" t="e">
        <f>+G80/E79</f>
        <v>#REF!</v>
      </c>
      <c r="H81" s="730" t="e">
        <f>+H80/F79</f>
        <v>#REF!</v>
      </c>
      <c r="I81" s="425"/>
      <c r="J81" s="425"/>
      <c r="K81" s="154"/>
      <c r="L81" s="154"/>
      <c r="M81" s="154"/>
      <c r="N81" s="154"/>
      <c r="O81" s="154"/>
      <c r="P81" s="154"/>
      <c r="Q81" s="154"/>
      <c r="R81" s="154"/>
      <c r="S81" s="154"/>
    </row>
    <row r="82" spans="1:19" x14ac:dyDescent="0.35">
      <c r="J82" s="257"/>
      <c r="K82" s="257"/>
      <c r="L82" s="257"/>
      <c r="M82" s="154"/>
      <c r="N82" s="257"/>
      <c r="O82" s="154"/>
      <c r="P82" s="257"/>
      <c r="Q82" s="154"/>
      <c r="R82" s="257"/>
      <c r="S82" s="257"/>
    </row>
    <row r="83" spans="1:19" x14ac:dyDescent="0.35">
      <c r="D83" s="116"/>
      <c r="M83" s="173"/>
      <c r="O83" s="173"/>
      <c r="Q83" s="173"/>
    </row>
    <row r="84" spans="1:19" x14ac:dyDescent="0.35">
      <c r="M84" s="173"/>
      <c r="O84" s="173"/>
      <c r="Q84" s="173"/>
    </row>
    <row r="85" spans="1:19" x14ac:dyDescent="0.35">
      <c r="M85" s="173"/>
      <c r="O85" s="173"/>
      <c r="Q85" s="173"/>
    </row>
    <row r="86" spans="1:19" x14ac:dyDescent="0.35">
      <c r="M86" s="173"/>
      <c r="O86" s="173"/>
      <c r="Q86" s="173"/>
    </row>
    <row r="87" spans="1:19" x14ac:dyDescent="0.35">
      <c r="M87" s="173"/>
      <c r="O87" s="173"/>
      <c r="Q87" s="173"/>
    </row>
    <row r="88" spans="1:19" x14ac:dyDescent="0.35">
      <c r="M88" s="173"/>
      <c r="O88" s="173"/>
      <c r="Q88" s="173"/>
    </row>
    <row r="89" spans="1:19" x14ac:dyDescent="0.35">
      <c r="M89" s="173"/>
      <c r="O89" s="173"/>
      <c r="Q89" s="173"/>
    </row>
    <row r="90" spans="1:19" x14ac:dyDescent="0.35">
      <c r="M90" s="173"/>
      <c r="O90" s="173"/>
      <c r="Q90" s="173"/>
    </row>
    <row r="91" spans="1:19" x14ac:dyDescent="0.35">
      <c r="M91" s="173"/>
      <c r="O91" s="173"/>
      <c r="Q91" s="173"/>
    </row>
    <row r="92" spans="1:19" x14ac:dyDescent="0.35">
      <c r="M92" s="173"/>
      <c r="O92" s="173"/>
      <c r="Q92" s="173"/>
    </row>
    <row r="93" spans="1:19" x14ac:dyDescent="0.35">
      <c r="M93" s="173"/>
      <c r="O93" s="173"/>
      <c r="Q93" s="173"/>
    </row>
    <row r="94" spans="1:19" x14ac:dyDescent="0.35">
      <c r="M94" s="173"/>
      <c r="O94" s="173"/>
      <c r="Q94" s="173"/>
    </row>
    <row r="95" spans="1:19" x14ac:dyDescent="0.35">
      <c r="M95" s="173"/>
      <c r="O95" s="173"/>
      <c r="Q95" s="173"/>
    </row>
    <row r="96" spans="1:19" x14ac:dyDescent="0.35">
      <c r="M96" s="173"/>
      <c r="O96" s="173"/>
      <c r="Q96" s="173"/>
    </row>
    <row r="97" spans="13:17" x14ac:dyDescent="0.35">
      <c r="M97" s="173"/>
      <c r="O97" s="173"/>
      <c r="Q97" s="173"/>
    </row>
  </sheetData>
  <mergeCells count="29">
    <mergeCell ref="A1:S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J3:S3"/>
    <mergeCell ref="L77:S77"/>
    <mergeCell ref="K33:S34"/>
    <mergeCell ref="A11:E11"/>
    <mergeCell ref="K12:S12"/>
    <mergeCell ref="A31:E31"/>
    <mergeCell ref="K13:S14"/>
    <mergeCell ref="A42:A43"/>
    <mergeCell ref="A27:A28"/>
    <mergeCell ref="A46:E46"/>
    <mergeCell ref="A47:A49"/>
    <mergeCell ref="K47:S48"/>
    <mergeCell ref="A50:A51"/>
    <mergeCell ref="A53:E5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529" t="s">
        <v>541</v>
      </c>
      <c r="C1" s="1529"/>
      <c r="D1" s="1529"/>
      <c r="E1" s="1529"/>
      <c r="F1" s="1529"/>
      <c r="G1" s="1529"/>
    </row>
    <row r="2" spans="1:7" ht="43.5" x14ac:dyDescent="0.35">
      <c r="B2" s="949" t="s">
        <v>542</v>
      </c>
      <c r="C2" s="974" t="s">
        <v>543</v>
      </c>
      <c r="D2" s="974" t="s">
        <v>545</v>
      </c>
      <c r="E2" s="974" t="s">
        <v>546</v>
      </c>
      <c r="F2" s="974" t="s">
        <v>544</v>
      </c>
      <c r="G2" s="974" t="s">
        <v>482</v>
      </c>
    </row>
    <row r="3" spans="1:7" x14ac:dyDescent="0.35">
      <c r="A3" t="s">
        <v>532</v>
      </c>
      <c r="B3" s="976">
        <v>78852</v>
      </c>
      <c r="C3" s="976">
        <v>-50000</v>
      </c>
      <c r="D3" s="977">
        <f>+B3+C3</f>
        <v>28852</v>
      </c>
      <c r="E3" s="977">
        <f>+D3/D$15*(400000-80000)</f>
        <v>26337.264489019886</v>
      </c>
      <c r="F3" s="976">
        <v>20000</v>
      </c>
      <c r="G3" s="977">
        <f>+E3+F3</f>
        <v>46337.264489019886</v>
      </c>
    </row>
    <row r="4" spans="1:7" x14ac:dyDescent="0.35">
      <c r="A4" t="s">
        <v>533</v>
      </c>
      <c r="B4" s="976">
        <v>26196</v>
      </c>
      <c r="C4" s="976"/>
      <c r="D4" s="977">
        <f t="shared" ref="D4:D14" si="0">+B4+C4</f>
        <v>26196</v>
      </c>
      <c r="E4" s="977">
        <f t="shared" ref="E4:E14" si="1">+D4/D$15*(400000-80000)</f>
        <v>23912.761006320707</v>
      </c>
      <c r="F4" s="976"/>
      <c r="G4" s="977">
        <f t="shared" ref="G4:G14" si="2">+E4+F4</f>
        <v>23912.761006320707</v>
      </c>
    </row>
    <row r="5" spans="1:7" x14ac:dyDescent="0.35">
      <c r="A5" t="s">
        <v>534</v>
      </c>
      <c r="B5" s="976">
        <v>35852</v>
      </c>
      <c r="C5" s="976"/>
      <c r="D5" s="977">
        <f t="shared" si="0"/>
        <v>35852</v>
      </c>
      <c r="E5" s="977">
        <f t="shared" si="1"/>
        <v>32727.145655772252</v>
      </c>
      <c r="F5" s="976"/>
      <c r="G5" s="977">
        <f t="shared" si="2"/>
        <v>32727.145655772252</v>
      </c>
    </row>
    <row r="6" spans="1:7" x14ac:dyDescent="0.35">
      <c r="A6" t="s">
        <v>535</v>
      </c>
      <c r="B6" s="976">
        <v>27285</v>
      </c>
      <c r="C6" s="976"/>
      <c r="D6" s="977">
        <f t="shared" si="0"/>
        <v>27285</v>
      </c>
      <c r="E6" s="977">
        <f t="shared" si="1"/>
        <v>24906.843947834037</v>
      </c>
      <c r="F6" s="976"/>
      <c r="G6" s="977">
        <f t="shared" si="2"/>
        <v>24906.843947834037</v>
      </c>
    </row>
    <row r="7" spans="1:7" x14ac:dyDescent="0.35">
      <c r="A7" t="s">
        <v>174</v>
      </c>
      <c r="B7" s="976">
        <v>22113</v>
      </c>
      <c r="C7" s="976"/>
      <c r="D7" s="977">
        <f t="shared" si="0"/>
        <v>22113</v>
      </c>
      <c r="E7" s="977">
        <f t="shared" si="1"/>
        <v>20185.63460577072</v>
      </c>
      <c r="F7" s="976"/>
      <c r="G7" s="977">
        <f t="shared" si="2"/>
        <v>20185.63460577072</v>
      </c>
    </row>
    <row r="8" spans="1:7" x14ac:dyDescent="0.35">
      <c r="A8" t="s">
        <v>175</v>
      </c>
      <c r="B8" s="976">
        <v>22022.75</v>
      </c>
      <c r="C8" s="976"/>
      <c r="D8" s="977">
        <f t="shared" si="0"/>
        <v>22022.75</v>
      </c>
      <c r="E8" s="977">
        <f t="shared" si="1"/>
        <v>20103.250780727947</v>
      </c>
      <c r="F8" s="976"/>
      <c r="G8" s="977">
        <f t="shared" si="2"/>
        <v>20103.250780727947</v>
      </c>
    </row>
    <row r="9" spans="1:7" x14ac:dyDescent="0.35">
      <c r="A9" t="s">
        <v>176</v>
      </c>
      <c r="B9" s="976">
        <v>78080</v>
      </c>
      <c r="C9" s="976">
        <v>-50000</v>
      </c>
      <c r="D9" s="977">
        <f t="shared" si="0"/>
        <v>28080</v>
      </c>
      <c r="E9" s="977">
        <f t="shared" si="1"/>
        <v>25632.551880343766</v>
      </c>
      <c r="F9" s="976">
        <v>60000</v>
      </c>
      <c r="G9" s="977">
        <f t="shared" si="2"/>
        <v>85632.551880343759</v>
      </c>
    </row>
    <row r="10" spans="1:7" x14ac:dyDescent="0.35">
      <c r="A10" t="s">
        <v>536</v>
      </c>
      <c r="B10" s="976">
        <v>23106</v>
      </c>
      <c r="C10" s="976"/>
      <c r="D10" s="977">
        <f t="shared" si="0"/>
        <v>23106</v>
      </c>
      <c r="E10" s="977">
        <f t="shared" si="1"/>
        <v>21092.084891282873</v>
      </c>
      <c r="F10" s="976"/>
      <c r="G10" s="977">
        <f t="shared" si="2"/>
        <v>21092.084891282873</v>
      </c>
    </row>
    <row r="11" spans="1:7" x14ac:dyDescent="0.35">
      <c r="A11" t="s">
        <v>537</v>
      </c>
      <c r="B11" s="976">
        <v>22482</v>
      </c>
      <c r="C11" s="976"/>
      <c r="D11" s="977">
        <f t="shared" si="0"/>
        <v>22482</v>
      </c>
      <c r="E11" s="977">
        <f t="shared" si="1"/>
        <v>20522.472627275238</v>
      </c>
      <c r="F11" s="976"/>
      <c r="G11" s="977">
        <f t="shared" si="2"/>
        <v>20522.472627275238</v>
      </c>
    </row>
    <row r="12" spans="1:7" x14ac:dyDescent="0.35">
      <c r="A12" t="s">
        <v>538</v>
      </c>
      <c r="B12" s="976">
        <v>34623.75</v>
      </c>
      <c r="C12" s="976"/>
      <c r="D12" s="977">
        <f t="shared" si="0"/>
        <v>34623.75</v>
      </c>
      <c r="E12" s="977">
        <f t="shared" si="1"/>
        <v>31605.949721048884</v>
      </c>
      <c r="F12" s="976"/>
      <c r="G12" s="977">
        <f t="shared" si="2"/>
        <v>31605.949721048884</v>
      </c>
    </row>
    <row r="13" spans="1:7" x14ac:dyDescent="0.35">
      <c r="A13" t="s">
        <v>539</v>
      </c>
      <c r="B13" s="976">
        <v>41326</v>
      </c>
      <c r="C13" s="976"/>
      <c r="D13" s="977">
        <f t="shared" si="0"/>
        <v>41326</v>
      </c>
      <c r="E13" s="977">
        <f t="shared" si="1"/>
        <v>37724.032728172599</v>
      </c>
      <c r="F13" s="976"/>
      <c r="G13" s="977">
        <f t="shared" si="2"/>
        <v>37724.032728172599</v>
      </c>
    </row>
    <row r="14" spans="1:7" x14ac:dyDescent="0.35">
      <c r="A14" t="s">
        <v>540</v>
      </c>
      <c r="B14" s="976">
        <v>38615.75</v>
      </c>
      <c r="C14" s="976"/>
      <c r="D14" s="977">
        <f t="shared" si="0"/>
        <v>38615.75</v>
      </c>
      <c r="E14" s="977">
        <f t="shared" si="1"/>
        <v>35250.007666431091</v>
      </c>
      <c r="F14" s="976"/>
      <c r="G14" s="977">
        <f t="shared" si="2"/>
        <v>35250.007666431091</v>
      </c>
    </row>
    <row r="15" spans="1:7" x14ac:dyDescent="0.35">
      <c r="A15" t="s">
        <v>125</v>
      </c>
      <c r="B15" s="975">
        <f t="shared" ref="B15:G15" si="3">SUM(B3:B14)</f>
        <v>450554.25</v>
      </c>
      <c r="C15" s="975">
        <f t="shared" si="3"/>
        <v>-100000</v>
      </c>
      <c r="D15" s="975">
        <f t="shared" si="3"/>
        <v>350554.25</v>
      </c>
      <c r="E15" s="975">
        <f t="shared" si="3"/>
        <v>320000</v>
      </c>
      <c r="F15" s="975">
        <f t="shared" si="3"/>
        <v>80000</v>
      </c>
      <c r="G15" s="975">
        <f t="shared" si="3"/>
        <v>400000</v>
      </c>
    </row>
  </sheetData>
  <mergeCells count="1">
    <mergeCell ref="B1:G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43"/>
  <sheetViews>
    <sheetView showGridLines="0" topLeftCell="B3" workbookViewId="0">
      <pane xSplit="3" ySplit="2" topLeftCell="E23" activePane="bottomRight" state="frozen"/>
      <selection activeCell="D7" sqref="D7:E7"/>
      <selection pane="topRight" activeCell="D7" sqref="D7:E7"/>
      <selection pane="bottomLeft" activeCell="D7" sqref="D7:E7"/>
      <selection pane="bottomRight" activeCell="F18" sqref="F18"/>
    </sheetView>
  </sheetViews>
  <sheetFormatPr defaultColWidth="9.08984375" defaultRowHeight="14.5" x14ac:dyDescent="0.35"/>
  <cols>
    <col min="1" max="1" width="4.453125" style="40" hidden="1" customWidth="1"/>
    <col min="2" max="2" width="4.36328125" style="1059" customWidth="1"/>
    <col min="3" max="3" width="10.7265625" style="1035" customWidth="1"/>
    <col min="4" max="4" width="20.7265625" style="1060" customWidth="1"/>
    <col min="5" max="6" width="11.08984375" style="1" customWidth="1"/>
    <col min="7" max="7" width="66.26953125" style="1035" customWidth="1"/>
    <col min="8" max="8" width="8.6328125" style="1" customWidth="1"/>
    <col min="9" max="16384" width="9.08984375" style="1"/>
  </cols>
  <sheetData>
    <row r="1" spans="1:8" ht="41.25" customHeight="1" x14ac:dyDescent="0.35">
      <c r="B1" s="1423" t="s">
        <v>79</v>
      </c>
      <c r="C1" s="1423"/>
      <c r="D1" s="1423"/>
      <c r="E1" s="1423"/>
      <c r="F1" s="1423"/>
      <c r="G1" s="1423"/>
    </row>
    <row r="2" spans="1:8" ht="23.25" customHeight="1" x14ac:dyDescent="0.35">
      <c r="E2" s="1428" t="s">
        <v>78</v>
      </c>
      <c r="F2" s="1429"/>
      <c r="G2" s="1025"/>
    </row>
    <row r="3" spans="1:8" ht="27.65" customHeight="1" x14ac:dyDescent="0.35">
      <c r="E3" s="1454" t="s">
        <v>686</v>
      </c>
      <c r="F3" s="1456" t="s">
        <v>560</v>
      </c>
      <c r="G3" s="1026"/>
    </row>
    <row r="4" spans="1:8" s="2" customFormat="1" x14ac:dyDescent="0.35">
      <c r="A4" s="41"/>
      <c r="B4" s="1059"/>
      <c r="C4" s="1059"/>
      <c r="D4" s="1061"/>
      <c r="E4" s="1455"/>
      <c r="F4" s="1457"/>
      <c r="G4" s="1027" t="str">
        <f>Bud_Yr&amp;" Budget Notes"</f>
        <v>2026 Budget Notes</v>
      </c>
    </row>
    <row r="5" spans="1:8" ht="17" customHeight="1" x14ac:dyDescent="0.35">
      <c r="A5" s="40">
        <v>79</v>
      </c>
      <c r="B5" s="1072" t="s">
        <v>31</v>
      </c>
    </row>
    <row r="6" spans="1:8" ht="13.5" customHeight="1" x14ac:dyDescent="0.35">
      <c r="A6" s="40">
        <v>80</v>
      </c>
      <c r="B6" s="1082" t="s">
        <v>690</v>
      </c>
      <c r="D6" s="1083" t="s">
        <v>590</v>
      </c>
    </row>
    <row r="7" spans="1:8" ht="13.5" customHeight="1" x14ac:dyDescent="0.35">
      <c r="C7" s="1064" t="s">
        <v>130</v>
      </c>
      <c r="D7" s="1065"/>
      <c r="E7" s="707">
        <v>76164</v>
      </c>
      <c r="F7" s="707">
        <v>73310</v>
      </c>
      <c r="G7" s="1029"/>
    </row>
    <row r="8" spans="1:8" ht="13.5" customHeight="1" x14ac:dyDescent="0.35">
      <c r="A8" s="40">
        <v>82</v>
      </c>
      <c r="C8" s="1024" t="s">
        <v>33</v>
      </c>
      <c r="D8" s="1066"/>
      <c r="E8" s="234">
        <v>1500</v>
      </c>
      <c r="F8" s="234">
        <v>1500</v>
      </c>
      <c r="G8" s="1030"/>
    </row>
    <row r="9" spans="1:8" ht="13.5" customHeight="1" x14ac:dyDescent="0.35">
      <c r="C9" s="1024" t="s">
        <v>589</v>
      </c>
      <c r="D9" s="1066"/>
      <c r="E9" s="234">
        <v>6214</v>
      </c>
      <c r="F9" s="234">
        <v>5836</v>
      </c>
      <c r="G9" s="1030"/>
    </row>
    <row r="10" spans="1:8" ht="13.5" customHeight="1" x14ac:dyDescent="0.35">
      <c r="C10" s="1024" t="s">
        <v>126</v>
      </c>
      <c r="D10" s="1066"/>
      <c r="E10" s="234">
        <v>8744</v>
      </c>
      <c r="F10" s="234">
        <v>8212</v>
      </c>
      <c r="G10" s="1030"/>
      <c r="H10" s="2"/>
    </row>
    <row r="11" spans="1:8" ht="13.5" customHeight="1" x14ac:dyDescent="0.35">
      <c r="A11" s="40">
        <v>83</v>
      </c>
      <c r="C11" s="1024" t="s">
        <v>127</v>
      </c>
      <c r="D11" s="1066"/>
      <c r="E11" s="234">
        <v>1490</v>
      </c>
      <c r="F11" s="234">
        <v>1399</v>
      </c>
      <c r="G11" s="1030"/>
    </row>
    <row r="12" spans="1:8" ht="13.5" customHeight="1" x14ac:dyDescent="0.35">
      <c r="C12" s="1024" t="s">
        <v>98</v>
      </c>
      <c r="D12" s="1066"/>
      <c r="E12" s="234">
        <v>600</v>
      </c>
      <c r="F12" s="234">
        <v>600</v>
      </c>
      <c r="G12" s="1030"/>
    </row>
    <row r="13" spans="1:8" ht="13.5" customHeight="1" x14ac:dyDescent="0.35">
      <c r="C13" s="1024" t="s">
        <v>700</v>
      </c>
      <c r="D13" s="1066"/>
      <c r="E13" s="234">
        <v>5058.99</v>
      </c>
      <c r="F13" s="234">
        <v>2977</v>
      </c>
      <c r="G13" s="1044"/>
    </row>
    <row r="14" spans="1:8" ht="13.5" customHeight="1" x14ac:dyDescent="0.35">
      <c r="A14" s="40">
        <v>85</v>
      </c>
      <c r="C14" s="1068" t="s">
        <v>34</v>
      </c>
      <c r="D14" s="1069"/>
      <c r="E14" s="242">
        <v>1300</v>
      </c>
      <c r="F14" s="242">
        <v>1300</v>
      </c>
      <c r="G14" s="1039"/>
    </row>
    <row r="15" spans="1:8" s="2" customFormat="1" ht="13.5" customHeight="1" x14ac:dyDescent="0.35">
      <c r="A15" s="40">
        <v>86</v>
      </c>
      <c r="B15" s="1084" t="s">
        <v>111</v>
      </c>
      <c r="C15" s="1084"/>
      <c r="D15" s="1084"/>
      <c r="E15" s="22">
        <v>101070.99</v>
      </c>
      <c r="F15" s="22">
        <v>95134</v>
      </c>
      <c r="G15" s="1045"/>
      <c r="H15" s="1"/>
    </row>
    <row r="16" spans="1:8" ht="13.5" customHeight="1" x14ac:dyDescent="0.35">
      <c r="A16" s="40">
        <v>80</v>
      </c>
      <c r="B16" s="1062" t="s">
        <v>691</v>
      </c>
      <c r="D16" s="1063" t="s">
        <v>696</v>
      </c>
    </row>
    <row r="17" spans="1:8" ht="13.5" customHeight="1" x14ac:dyDescent="0.35">
      <c r="A17" s="40">
        <v>81</v>
      </c>
      <c r="C17" s="1073" t="s">
        <v>130</v>
      </c>
      <c r="D17" s="1074"/>
      <c r="E17" s="1183">
        <v>73310</v>
      </c>
      <c r="F17" s="220">
        <v>0</v>
      </c>
      <c r="G17" s="1036"/>
    </row>
    <row r="18" spans="1:8" ht="13.5" customHeight="1" x14ac:dyDescent="0.35">
      <c r="A18" s="40">
        <v>82</v>
      </c>
      <c r="C18" s="1024" t="s">
        <v>33</v>
      </c>
      <c r="D18" s="1066"/>
      <c r="E18" s="1183">
        <v>1500</v>
      </c>
      <c r="F18" s="220">
        <v>0</v>
      </c>
      <c r="G18" s="1030"/>
    </row>
    <row r="19" spans="1:8" ht="13.5" customHeight="1" x14ac:dyDescent="0.35">
      <c r="C19" s="1024" t="s">
        <v>230</v>
      </c>
      <c r="D19" s="1066"/>
      <c r="E19" s="1183">
        <v>5834</v>
      </c>
      <c r="F19" s="220">
        <v>0</v>
      </c>
      <c r="G19" s="1030"/>
    </row>
    <row r="20" spans="1:8" ht="13.5" customHeight="1" x14ac:dyDescent="0.35">
      <c r="C20" s="1024" t="s">
        <v>126</v>
      </c>
      <c r="D20" s="1066"/>
      <c r="E20" s="1183">
        <v>8210</v>
      </c>
      <c r="F20" s="220">
        <v>0</v>
      </c>
      <c r="G20" s="1030"/>
    </row>
    <row r="21" spans="1:8" ht="13.5" customHeight="1" x14ac:dyDescent="0.35">
      <c r="A21" s="40">
        <v>83</v>
      </c>
      <c r="C21" s="1024" t="s">
        <v>127</v>
      </c>
      <c r="D21" s="1066"/>
      <c r="E21" s="1183">
        <v>1399</v>
      </c>
      <c r="F21" s="220">
        <v>0</v>
      </c>
      <c r="G21" s="1030"/>
    </row>
    <row r="22" spans="1:8" ht="13.5" customHeight="1" x14ac:dyDescent="0.35">
      <c r="C22" s="1024" t="s">
        <v>98</v>
      </c>
      <c r="D22" s="1066"/>
      <c r="E22" s="1183">
        <v>600</v>
      </c>
      <c r="F22" s="220">
        <v>0</v>
      </c>
      <c r="G22" s="1030"/>
    </row>
    <row r="23" spans="1:8" ht="13.5" customHeight="1" x14ac:dyDescent="0.35">
      <c r="C23" s="1024" t="s">
        <v>700</v>
      </c>
      <c r="D23" s="1066"/>
      <c r="E23" s="237">
        <v>2954</v>
      </c>
      <c r="F23" s="220">
        <v>0</v>
      </c>
      <c r="G23" s="1044"/>
    </row>
    <row r="24" spans="1:8" ht="13.5" customHeight="1" x14ac:dyDescent="0.35">
      <c r="A24" s="40">
        <v>85</v>
      </c>
      <c r="C24" s="1024" t="s">
        <v>34</v>
      </c>
      <c r="D24" s="1066"/>
      <c r="E24" s="1183">
        <v>1300</v>
      </c>
      <c r="F24" s="220">
        <v>0</v>
      </c>
      <c r="G24" s="1030"/>
    </row>
    <row r="25" spans="1:8" s="2" customFormat="1" ht="13.5" customHeight="1" x14ac:dyDescent="0.35">
      <c r="A25" s="40">
        <v>86</v>
      </c>
      <c r="B25" s="1084" t="s">
        <v>228</v>
      </c>
      <c r="C25" s="1084"/>
      <c r="D25" s="1084"/>
      <c r="E25" s="22">
        <v>95107</v>
      </c>
      <c r="F25" s="22">
        <v>0</v>
      </c>
      <c r="G25" s="1045"/>
      <c r="H25" s="1"/>
    </row>
    <row r="26" spans="1:8" s="13" customFormat="1" ht="13.5" customHeight="1" x14ac:dyDescent="0.35">
      <c r="A26" s="1018">
        <v>96</v>
      </c>
      <c r="B26" s="1061" t="s">
        <v>377</v>
      </c>
      <c r="C26" s="1061"/>
      <c r="D26" s="1061"/>
      <c r="E26" s="340">
        <v>0</v>
      </c>
      <c r="F26" s="340">
        <v>25829</v>
      </c>
      <c r="G26" s="1038"/>
      <c r="H26" s="46"/>
    </row>
    <row r="27" spans="1:8" ht="13.5" customHeight="1" x14ac:dyDescent="0.35">
      <c r="A27" s="40">
        <v>107</v>
      </c>
      <c r="B27" s="1062" t="s">
        <v>39</v>
      </c>
      <c r="F27" s="24"/>
    </row>
    <row r="28" spans="1:8" ht="13.5" customHeight="1" x14ac:dyDescent="0.35">
      <c r="A28" s="40">
        <v>108</v>
      </c>
      <c r="C28" s="1073" t="s">
        <v>100</v>
      </c>
      <c r="D28" s="1074"/>
      <c r="E28" s="220">
        <v>17818</v>
      </c>
      <c r="F28" s="197">
        <v>17818</v>
      </c>
      <c r="G28" s="1029"/>
      <c r="H28" s="2"/>
    </row>
    <row r="29" spans="1:8" ht="13.5" customHeight="1" x14ac:dyDescent="0.35">
      <c r="C29" s="1064" t="s">
        <v>170</v>
      </c>
      <c r="D29" s="1065"/>
      <c r="E29" s="340">
        <v>3462</v>
      </c>
      <c r="F29" s="337">
        <v>3361</v>
      </c>
      <c r="G29" s="1039"/>
    </row>
    <row r="30" spans="1:8" ht="13.5" customHeight="1" x14ac:dyDescent="0.35">
      <c r="A30" s="40">
        <v>109</v>
      </c>
      <c r="C30" s="1024" t="s">
        <v>40</v>
      </c>
      <c r="D30" s="1066"/>
      <c r="E30" s="201">
        <v>200</v>
      </c>
      <c r="F30" s="201">
        <v>400</v>
      </c>
      <c r="G30" s="1030"/>
    </row>
    <row r="31" spans="1:8" ht="13.5" customHeight="1" x14ac:dyDescent="0.35">
      <c r="A31" s="40">
        <v>110</v>
      </c>
      <c r="C31" s="1024" t="s">
        <v>41</v>
      </c>
      <c r="D31" s="1066"/>
      <c r="E31" s="234">
        <v>19592</v>
      </c>
      <c r="F31" s="198">
        <v>17856</v>
      </c>
      <c r="G31" s="1030" t="s">
        <v>806</v>
      </c>
    </row>
    <row r="32" spans="1:8" ht="13.5" customHeight="1" x14ac:dyDescent="0.35">
      <c r="A32" s="40">
        <v>110</v>
      </c>
      <c r="C32" s="1469" t="s">
        <v>484</v>
      </c>
      <c r="D32" s="1469"/>
      <c r="E32" s="234">
        <v>4349</v>
      </c>
      <c r="F32" s="198">
        <v>8819</v>
      </c>
      <c r="G32" s="1030" t="s">
        <v>717</v>
      </c>
    </row>
    <row r="33" spans="1:8" s="2" customFormat="1" ht="13.5" customHeight="1" x14ac:dyDescent="0.35">
      <c r="A33" s="40">
        <v>114</v>
      </c>
      <c r="B33" s="1084" t="s">
        <v>44</v>
      </c>
      <c r="C33" s="1084"/>
      <c r="D33" s="1084"/>
      <c r="E33" s="22">
        <v>45421</v>
      </c>
      <c r="F33" s="22">
        <v>48254</v>
      </c>
      <c r="G33" s="1045"/>
      <c r="H33" s="1"/>
    </row>
    <row r="34" spans="1:8" ht="13.5" customHeight="1" x14ac:dyDescent="0.35">
      <c r="A34" s="40">
        <v>116</v>
      </c>
      <c r="B34" s="1062" t="s">
        <v>45</v>
      </c>
      <c r="E34" s="868"/>
      <c r="F34" s="24"/>
    </row>
    <row r="35" spans="1:8" ht="13.5" customHeight="1" x14ac:dyDescent="0.35">
      <c r="C35" s="1064" t="s">
        <v>246</v>
      </c>
      <c r="D35" s="1065"/>
      <c r="E35" s="707">
        <v>49504</v>
      </c>
      <c r="F35" s="340">
        <v>48048</v>
      </c>
      <c r="G35" s="1029"/>
      <c r="H35" s="333"/>
    </row>
    <row r="36" spans="1:8" ht="13.5" customHeight="1" x14ac:dyDescent="0.35">
      <c r="A36" s="40">
        <v>118</v>
      </c>
      <c r="C36" s="1024" t="s">
        <v>47</v>
      </c>
      <c r="D36" s="1066"/>
      <c r="E36" s="234">
        <v>38064</v>
      </c>
      <c r="F36" s="234">
        <v>36868</v>
      </c>
      <c r="G36" s="1030" t="s">
        <v>822</v>
      </c>
    </row>
    <row r="37" spans="1:8" ht="13.5" customHeight="1" x14ac:dyDescent="0.35">
      <c r="A37" s="40">
        <v>119</v>
      </c>
      <c r="C37" s="1024" t="s">
        <v>48</v>
      </c>
      <c r="D37" s="1066"/>
      <c r="E37" s="218">
        <v>800</v>
      </c>
      <c r="F37" s="201">
        <v>800</v>
      </c>
      <c r="G37" s="1030" t="s">
        <v>624</v>
      </c>
    </row>
    <row r="38" spans="1:8" ht="13.5" customHeight="1" x14ac:dyDescent="0.35">
      <c r="A38" s="40">
        <v>120</v>
      </c>
      <c r="C38" s="1024" t="s">
        <v>90</v>
      </c>
      <c r="D38" s="1066"/>
      <c r="E38" s="218">
        <v>800</v>
      </c>
      <c r="F38" s="201">
        <v>800</v>
      </c>
      <c r="G38" s="1030" t="s">
        <v>693</v>
      </c>
      <c r="H38" s="2"/>
    </row>
    <row r="39" spans="1:8" ht="13.5" customHeight="1" x14ac:dyDescent="0.35">
      <c r="A39" s="40">
        <v>123</v>
      </c>
      <c r="C39" s="1024" t="s">
        <v>49</v>
      </c>
      <c r="D39" s="1066"/>
      <c r="E39" s="237">
        <v>10192</v>
      </c>
      <c r="F39" s="237">
        <v>12290</v>
      </c>
      <c r="G39" s="1030" t="s">
        <v>719</v>
      </c>
      <c r="H39" s="43"/>
    </row>
    <row r="40" spans="1:8" ht="13.5" customHeight="1" x14ac:dyDescent="0.35">
      <c r="A40" s="40">
        <v>124</v>
      </c>
      <c r="C40" s="1024" t="s">
        <v>50</v>
      </c>
      <c r="D40" s="1066"/>
      <c r="E40" s="234">
        <v>4228</v>
      </c>
      <c r="F40" s="218">
        <v>4227.5</v>
      </c>
      <c r="G40" s="1184"/>
      <c r="H40" s="43"/>
    </row>
    <row r="41" spans="1:8" ht="13.5" customHeight="1" x14ac:dyDescent="0.35">
      <c r="A41" s="40">
        <v>125</v>
      </c>
      <c r="C41" s="1024" t="s">
        <v>51</v>
      </c>
      <c r="D41" s="1066"/>
      <c r="E41" s="50">
        <v>550</v>
      </c>
      <c r="F41" s="48">
        <v>1650</v>
      </c>
      <c r="G41" s="1046" t="s">
        <v>718</v>
      </c>
    </row>
    <row r="42" spans="1:8" s="2" customFormat="1" ht="13.5" customHeight="1" x14ac:dyDescent="0.35">
      <c r="A42" s="40">
        <v>127</v>
      </c>
      <c r="B42" s="1084" t="s">
        <v>46</v>
      </c>
      <c r="C42" s="1084"/>
      <c r="D42" s="1084"/>
      <c r="E42" s="22">
        <v>104138</v>
      </c>
      <c r="F42" s="22">
        <v>104683.5</v>
      </c>
      <c r="G42" s="1045"/>
      <c r="H42" s="24"/>
    </row>
    <row r="43" spans="1:8" ht="17" customHeight="1" x14ac:dyDescent="0.35">
      <c r="A43" s="40">
        <v>128</v>
      </c>
      <c r="B43" s="1084" t="s">
        <v>52</v>
      </c>
      <c r="C43" s="1084"/>
      <c r="D43" s="1084"/>
      <c r="E43" s="22">
        <v>345736.99</v>
      </c>
      <c r="F43" s="22">
        <v>273900.5</v>
      </c>
      <c r="G43" s="1045"/>
      <c r="H43" s="24"/>
    </row>
  </sheetData>
  <mergeCells count="5">
    <mergeCell ref="C32:D32"/>
    <mergeCell ref="B1:G1"/>
    <mergeCell ref="E2:F2"/>
    <mergeCell ref="E3:E4"/>
    <mergeCell ref="F3:F4"/>
  </mergeCells>
  <pageMargins left="0" right="0" top="0.25" bottom="0.5" header="0.3" footer="0.3"/>
  <pageSetup scale="67" fitToHeight="0" orientation="landscape" r:id="rId1"/>
  <headerFooter>
    <oddFooter>&amp;C&amp;P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1"/>
  <sheetViews>
    <sheetView showGridLines="0" workbookViewId="0">
      <selection activeCell="A3" sqref="A3"/>
    </sheetView>
  </sheetViews>
  <sheetFormatPr defaultRowHeight="15.5" x14ac:dyDescent="0.35"/>
  <cols>
    <col min="1" max="1" width="1.7265625" style="299" customWidth="1"/>
    <col min="2" max="2" width="43.54296875" style="299" customWidth="1"/>
    <col min="3" max="3" width="10.26953125" style="322" customWidth="1"/>
    <col min="4" max="4" width="16.90625" style="299" customWidth="1"/>
    <col min="5" max="5" width="47.36328125" style="299" customWidth="1"/>
    <col min="6" max="16384" width="8.7265625" style="299"/>
  </cols>
  <sheetData>
    <row r="1" spans="1:5" ht="20" x14ac:dyDescent="0.35">
      <c r="A1" s="1488" t="s">
        <v>79</v>
      </c>
      <c r="B1" s="1488"/>
      <c r="C1" s="1488"/>
      <c r="D1" s="1488"/>
      <c r="E1" s="1488"/>
    </row>
    <row r="2" spans="1:5" ht="18.5" customHeight="1" x14ac:dyDescent="0.35">
      <c r="A2" s="1489" t="s">
        <v>872</v>
      </c>
      <c r="B2" s="1489"/>
      <c r="C2" s="1489"/>
      <c r="D2" s="1489"/>
      <c r="E2" s="1489"/>
    </row>
    <row r="3" spans="1:5" ht="18.5" customHeight="1" thickBot="1" x14ac:dyDescent="0.4">
      <c r="A3" s="478"/>
      <c r="B3" s="478"/>
      <c r="C3" s="478"/>
      <c r="D3" s="478"/>
      <c r="E3" s="478"/>
    </row>
    <row r="4" spans="1:5" ht="30" hidden="1" customHeight="1" thickBot="1" x14ac:dyDescent="0.4">
      <c r="A4" s="478"/>
      <c r="B4" s="1583" t="s">
        <v>258</v>
      </c>
      <c r="C4" s="1584"/>
      <c r="D4" s="1584"/>
      <c r="E4" s="1585"/>
    </row>
    <row r="5" spans="1:5" hidden="1" x14ac:dyDescent="0.35">
      <c r="B5" s="479" t="s">
        <v>318</v>
      </c>
      <c r="C5" s="480">
        <f>+'New Year-Full Year'!Q69+'New Year-Full Year'!Q71</f>
        <v>85609</v>
      </c>
      <c r="D5" s="1588" t="str">
        <f>+"Annually  ($"&amp;'New Year-Full Year'!Q69-22000&amp;" salary, $22000 housing, and $"&amp;'New Year-Full Year'!Q71&amp;" FICA Tax)"</f>
        <v>Annually  ($57166 salary, $22000 housing, and $6443 FICA Tax)</v>
      </c>
      <c r="E5" s="1589"/>
    </row>
    <row r="6" spans="1:5" ht="16" hidden="1" thickBot="1" x14ac:dyDescent="0.4">
      <c r="B6" s="482" t="s">
        <v>257</v>
      </c>
      <c r="C6" s="481">
        <f>+'New Year-Full Year'!Q72</f>
        <v>9067</v>
      </c>
      <c r="D6" s="1590" t="str">
        <f>"Annually (the Portico % to use is "&amp;'Pastor Karen'!Q39*100&amp;"%)"</f>
        <v>Annually (the Portico % to use is 22.5%)</v>
      </c>
      <c r="E6" s="1591"/>
    </row>
    <row r="7" spans="1:5" hidden="1" x14ac:dyDescent="0.35">
      <c r="B7" s="479" t="s">
        <v>319</v>
      </c>
      <c r="C7" s="480">
        <f>+'New Year-Full Year'!Q79+'New Year-Full Year'!Q81</f>
        <v>84003</v>
      </c>
      <c r="D7" s="1588" t="str">
        <f>+"Annually  ($"&amp;'New Year-Full Year'!Q79-20000&amp;" salary, $20000 housing, and $"&amp;'New Year-Full Year'!Q81&amp;" FICA Tax)"</f>
        <v>Annually  ($57776 salary, $20000 housing, and $6227 FICA Tax)</v>
      </c>
      <c r="E7" s="1589"/>
    </row>
    <row r="8" spans="1:5" ht="16" hidden="1" thickBot="1" x14ac:dyDescent="0.4">
      <c r="B8" s="482" t="s">
        <v>257</v>
      </c>
      <c r="C8" s="481">
        <f>+'New Year-Full Year'!Q82</f>
        <v>8763</v>
      </c>
      <c r="D8" s="1590" t="str">
        <f>"Annually (the Portico % to use is "&amp;'Pastor Kelly'!E37*100&amp;"%)"</f>
        <v>Annually (the Portico % to use is 16%)</v>
      </c>
      <c r="E8" s="1591"/>
    </row>
    <row r="9" spans="1:5" ht="18.5" hidden="1" customHeight="1" thickBot="1" x14ac:dyDescent="0.4">
      <c r="A9" s="478"/>
      <c r="B9" s="478"/>
      <c r="C9" s="478"/>
      <c r="D9" s="478"/>
      <c r="E9" s="478"/>
    </row>
    <row r="10" spans="1:5" ht="30" customHeight="1" thickBot="1" x14ac:dyDescent="0.4">
      <c r="A10" s="305"/>
      <c r="B10" s="1583" t="s">
        <v>818</v>
      </c>
      <c r="C10" s="1584"/>
      <c r="D10" s="318" t="s">
        <v>212</v>
      </c>
      <c r="E10" s="611"/>
    </row>
    <row r="11" spans="1:5" ht="18.5" customHeight="1" x14ac:dyDescent="0.35">
      <c r="A11" s="305"/>
      <c r="B11" s="1586" t="s">
        <v>256</v>
      </c>
      <c r="C11" s="1587"/>
      <c r="D11" s="315">
        <f>+'New Year-Full Year'!F96</f>
        <v>24.6</v>
      </c>
      <c r="E11" s="305"/>
    </row>
    <row r="12" spans="1:5" ht="18.5" customHeight="1" x14ac:dyDescent="0.35">
      <c r="A12" s="771"/>
      <c r="B12" s="1586" t="s">
        <v>816</v>
      </c>
      <c r="C12" s="1587"/>
      <c r="D12" s="315">
        <f>+'New Year-Full Year'!F98</f>
        <v>19.400000000000002</v>
      </c>
      <c r="E12" s="771"/>
    </row>
    <row r="13" spans="1:5" ht="18.5" customHeight="1" x14ac:dyDescent="0.35">
      <c r="A13" s="1361"/>
      <c r="B13" s="314" t="s">
        <v>819</v>
      </c>
      <c r="C13" s="302"/>
      <c r="D13" s="315">
        <f>+'New Year-Full Year'!F99</f>
        <v>16</v>
      </c>
      <c r="E13" s="1361"/>
    </row>
    <row r="14" spans="1:5" ht="18.5" customHeight="1" x14ac:dyDescent="0.35">
      <c r="A14" s="305"/>
      <c r="B14" s="1586" t="s">
        <v>815</v>
      </c>
      <c r="C14" s="1587"/>
      <c r="D14" s="315">
        <f>+'New Year-Full Year'!F100</f>
        <v>13.5</v>
      </c>
      <c r="E14" s="305"/>
    </row>
    <row r="15" spans="1:5" ht="18.5" hidden="1" customHeight="1" x14ac:dyDescent="0.35">
      <c r="A15" s="305"/>
      <c r="B15" s="314" t="s">
        <v>428</v>
      </c>
      <c r="C15" s="302"/>
      <c r="D15" s="315" t="e">
        <f>+'New Year-Full Year'!#REF!</f>
        <v>#REF!</v>
      </c>
      <c r="E15" s="305"/>
    </row>
    <row r="16" spans="1:5" ht="4" customHeight="1" thickBot="1" x14ac:dyDescent="0.4">
      <c r="A16" s="305"/>
      <c r="B16" s="316"/>
      <c r="C16" s="308"/>
      <c r="D16" s="317"/>
      <c r="E16" s="305"/>
    </row>
    <row r="17" spans="1:5" ht="8" customHeight="1" x14ac:dyDescent="0.35">
      <c r="A17" s="305"/>
      <c r="B17" s="305"/>
      <c r="C17" s="305"/>
      <c r="D17" s="305"/>
      <c r="E17" s="305"/>
    </row>
    <row r="18" spans="1:5" ht="18.5" customHeight="1" thickBot="1" x14ac:dyDescent="0.4">
      <c r="A18" s="305"/>
      <c r="B18" s="298" t="s">
        <v>211</v>
      </c>
      <c r="C18" s="305"/>
      <c r="D18" s="305"/>
      <c r="E18" s="305"/>
    </row>
    <row r="19" spans="1:5" ht="16" thickBot="1" x14ac:dyDescent="0.4">
      <c r="A19" s="300"/>
      <c r="B19" s="309" t="s">
        <v>214</v>
      </c>
      <c r="C19" s="320"/>
      <c r="D19" s="1579" t="s">
        <v>213</v>
      </c>
      <c r="E19" s="1580"/>
    </row>
    <row r="20" spans="1:5" ht="52" customHeight="1" thickBot="1" x14ac:dyDescent="0.4">
      <c r="B20" s="319" t="s">
        <v>170</v>
      </c>
      <c r="C20" s="364">
        <f>+'New Year-Full Year'!Q90</f>
        <v>3566</v>
      </c>
      <c r="D20" s="1581" t="s">
        <v>415</v>
      </c>
      <c r="E20" s="1582"/>
    </row>
    <row r="21" spans="1:5" ht="33" customHeight="1" thickBot="1" x14ac:dyDescent="0.4">
      <c r="B21" s="319" t="s">
        <v>100</v>
      </c>
      <c r="C21" s="364">
        <f>+'New Year-Full Year'!Q89</f>
        <v>17818</v>
      </c>
      <c r="D21" s="1581" t="s">
        <v>821</v>
      </c>
      <c r="E21" s="1582"/>
    </row>
    <row r="22" spans="1:5" ht="16" thickBot="1" x14ac:dyDescent="0.4">
      <c r="A22" s="306"/>
      <c r="B22" s="301"/>
      <c r="C22" s="321"/>
      <c r="D22" s="301"/>
    </row>
    <row r="23" spans="1:5" ht="16" thickBot="1" x14ac:dyDescent="0.4">
      <c r="A23" s="302"/>
      <c r="B23" s="309" t="s">
        <v>518</v>
      </c>
      <c r="C23" s="320"/>
      <c r="D23" s="310"/>
      <c r="E23" s="311"/>
    </row>
    <row r="24" spans="1:5" ht="16" thickBot="1" x14ac:dyDescent="0.4">
      <c r="A24" s="965"/>
      <c r="B24" s="307" t="s">
        <v>429</v>
      </c>
      <c r="C24" s="365">
        <f>+'Band and Other Music'!H24</f>
        <v>62</v>
      </c>
      <c r="D24" s="1577" t="s">
        <v>817</v>
      </c>
      <c r="E24" s="1578"/>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5">
    <mergeCell ref="A1:E1"/>
    <mergeCell ref="A2:E2"/>
    <mergeCell ref="D7:E7"/>
    <mergeCell ref="D8:E8"/>
    <mergeCell ref="D6:E6"/>
    <mergeCell ref="D5:E5"/>
    <mergeCell ref="D24:E24"/>
    <mergeCell ref="D19:E19"/>
    <mergeCell ref="D21:E21"/>
    <mergeCell ref="D20:E20"/>
    <mergeCell ref="B4:E4"/>
    <mergeCell ref="B11:C11"/>
    <mergeCell ref="B12:C12"/>
    <mergeCell ref="B14:C14"/>
    <mergeCell ref="B10:C10"/>
  </mergeCells>
  <printOptions horizontalCentered="1"/>
  <pageMargins left="0.2" right="0.2" top="0.25" bottom="0.25" header="0.3" footer="0.3"/>
  <pageSetup scale="83"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266</v>
      </c>
    </row>
    <row r="3" spans="2:7" ht="58" x14ac:dyDescent="0.35">
      <c r="C3" s="494" t="s">
        <v>276</v>
      </c>
      <c r="D3" s="494" t="s">
        <v>277</v>
      </c>
      <c r="E3" s="494"/>
      <c r="F3" s="495" t="s">
        <v>275</v>
      </c>
      <c r="G3" s="494" t="s">
        <v>273</v>
      </c>
    </row>
    <row r="4" spans="2:7" x14ac:dyDescent="0.35">
      <c r="B4">
        <v>2018</v>
      </c>
      <c r="C4" s="496">
        <f>52894+15868</f>
        <v>68762</v>
      </c>
      <c r="D4" s="496">
        <f>52894+15868</f>
        <v>68762</v>
      </c>
      <c r="E4" s="496" t="s">
        <v>269</v>
      </c>
      <c r="F4" s="500">
        <f>52894+15868</f>
        <v>68762</v>
      </c>
      <c r="G4" s="497">
        <f>+F4-D4</f>
        <v>0</v>
      </c>
    </row>
    <row r="6" spans="2:7" x14ac:dyDescent="0.35">
      <c r="B6" t="s">
        <v>267</v>
      </c>
      <c r="C6" s="497">
        <f>+ROUND(C4*(1+0.02),2)</f>
        <v>70137.240000000005</v>
      </c>
      <c r="D6" s="499">
        <v>71240</v>
      </c>
      <c r="E6" s="499" t="s">
        <v>270</v>
      </c>
      <c r="F6" s="500">
        <v>70137</v>
      </c>
      <c r="G6" s="497">
        <f>+F6-D6</f>
        <v>-1103</v>
      </c>
    </row>
    <row r="7" spans="2:7" x14ac:dyDescent="0.35">
      <c r="C7" s="498">
        <f>(+C6-C4)/C4</f>
        <v>2.0000000000000077E-2</v>
      </c>
      <c r="D7" s="498">
        <f>(+D6-D4)/D4</f>
        <v>3.6037346208661759E-2</v>
      </c>
      <c r="E7" s="498"/>
    </row>
    <row r="8" spans="2:7" x14ac:dyDescent="0.35">
      <c r="C8" s="498"/>
      <c r="D8" s="498"/>
      <c r="E8" s="498"/>
    </row>
    <row r="9" spans="2:7" x14ac:dyDescent="0.35">
      <c r="B9" t="s">
        <v>268</v>
      </c>
      <c r="C9" s="497">
        <f>+ROUND(C6*(1+0.02),2)</f>
        <v>71539.98</v>
      </c>
      <c r="D9" s="499">
        <v>73783</v>
      </c>
      <c r="E9" s="499" t="s">
        <v>271</v>
      </c>
      <c r="F9" s="500">
        <v>71540</v>
      </c>
      <c r="G9" s="497">
        <f>+F9-D9</f>
        <v>-2243</v>
      </c>
    </row>
    <row r="10" spans="2:7" x14ac:dyDescent="0.35">
      <c r="C10" s="498">
        <f>(+C9-C6)/C6</f>
        <v>1.9999931562747417E-2</v>
      </c>
      <c r="D10" s="498">
        <f>(+D9-D6)/D6</f>
        <v>3.5696238068500842E-2</v>
      </c>
      <c r="E10" s="498"/>
    </row>
    <row r="11" spans="2:7" x14ac:dyDescent="0.35">
      <c r="C11" s="497"/>
      <c r="D11" s="497"/>
      <c r="E11" s="497"/>
    </row>
    <row r="12" spans="2:7" x14ac:dyDescent="0.35">
      <c r="B12" t="s">
        <v>274</v>
      </c>
      <c r="C12" s="497">
        <f>+ROUND(C9*(1+0.01),2)</f>
        <v>72255.38</v>
      </c>
      <c r="D12" s="499">
        <v>75618</v>
      </c>
      <c r="E12" s="499" t="s">
        <v>272</v>
      </c>
      <c r="F12" s="501">
        <f>+F9*(1+0.01)</f>
        <v>72255.399999999994</v>
      </c>
      <c r="G12" s="501">
        <f>+D12-F9</f>
        <v>4078</v>
      </c>
    </row>
    <row r="13" spans="2:7" x14ac:dyDescent="0.35">
      <c r="C13" s="498">
        <f>(+C12-C9)/C9</f>
        <v>1.0000002795639708E-2</v>
      </c>
      <c r="D13" s="498">
        <f>(+D12-D9)/D9</f>
        <v>2.4870227559193853E-2</v>
      </c>
      <c r="E13" s="498"/>
      <c r="F13" s="498">
        <f>(+F12-F9)/F9</f>
        <v>9.9999999999999187E-3</v>
      </c>
      <c r="G13" s="498">
        <f>+G12/F9</f>
        <v>5.7003075202683814E-2</v>
      </c>
    </row>
    <row r="16" spans="2:7" x14ac:dyDescent="0.35">
      <c r="D16" s="497"/>
      <c r="F16" s="502">
        <f>2000/F9</f>
        <v>2.7956388034665922E-2</v>
      </c>
    </row>
    <row r="17" spans="4:4" x14ac:dyDescent="0.35">
      <c r="D17" s="497"/>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1"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423" t="s">
        <v>79</v>
      </c>
      <c r="C1" s="1423"/>
      <c r="D1" s="1423"/>
      <c r="E1" s="1423"/>
      <c r="F1" s="1423"/>
      <c r="G1" s="1423"/>
      <c r="H1" s="1423"/>
      <c r="I1" s="1423"/>
      <c r="J1" s="1423"/>
      <c r="K1" s="1423"/>
      <c r="L1" s="1423"/>
    </row>
    <row r="2" spans="1:12" ht="8.25" customHeight="1" x14ac:dyDescent="0.35">
      <c r="B2" s="1424"/>
      <c r="C2" s="1424"/>
      <c r="D2" s="1424"/>
      <c r="E2" s="1424"/>
      <c r="F2" s="1424"/>
      <c r="G2" s="1424"/>
      <c r="H2" s="1424"/>
      <c r="I2" s="1424"/>
      <c r="J2" s="1424"/>
      <c r="K2" s="1424"/>
      <c r="L2" s="1424"/>
    </row>
    <row r="3" spans="1:12" ht="18" customHeight="1" x14ac:dyDescent="0.35">
      <c r="E3" s="1428" t="s">
        <v>78</v>
      </c>
      <c r="F3" s="1429"/>
      <c r="G3" s="1429"/>
      <c r="H3" s="1430"/>
      <c r="J3" s="1425" t="str">
        <f>+'New Year-Full Year'!V2</f>
        <v>2025 Year to Date (YTD)</v>
      </c>
      <c r="K3" s="1426"/>
      <c r="L3" s="1427"/>
    </row>
    <row r="4" spans="1:12" ht="25.5" customHeight="1" x14ac:dyDescent="0.35">
      <c r="E4" s="1436" t="str">
        <f>+'New Year-Full Year'!Q3</f>
        <v>2026 Budget</v>
      </c>
      <c r="F4" s="1434" t="str">
        <f>+'New Year-Full Year'!R3</f>
        <v>2025 Budget</v>
      </c>
      <c r="G4" s="1432" t="str">
        <f>Bud_Yr&amp;" Budget vs "&amp;Bud_Yr-1&amp;" Budget"</f>
        <v>2026 Budget vs 2025 Budget</v>
      </c>
      <c r="H4" s="1433"/>
      <c r="J4" s="1436" t="str">
        <f>+'New Year-Full Year'!V3</f>
        <v>August 2025 YTD</v>
      </c>
      <c r="K4" s="1434">
        <f>+'New Year-Full Year'!W3</f>
        <v>0</v>
      </c>
      <c r="L4" s="1438" t="s">
        <v>77</v>
      </c>
    </row>
    <row r="5" spans="1:12" s="2" customFormat="1" x14ac:dyDescent="0.35">
      <c r="A5" s="41"/>
      <c r="E5" s="1437"/>
      <c r="F5" s="1435"/>
      <c r="G5" s="467" t="s">
        <v>103</v>
      </c>
      <c r="H5" s="47" t="s">
        <v>104</v>
      </c>
      <c r="J5" s="1437"/>
      <c r="K5" s="1435"/>
      <c r="L5" s="1439"/>
    </row>
    <row r="6" spans="1:12" s="2" customFormat="1" ht="19.5" customHeight="1" x14ac:dyDescent="0.35">
      <c r="A6" s="41"/>
      <c r="B6" s="5" t="s">
        <v>0</v>
      </c>
      <c r="E6" s="6"/>
      <c r="F6" s="37"/>
      <c r="G6" s="37"/>
      <c r="H6" s="37"/>
      <c r="J6" s="37"/>
      <c r="K6" s="37"/>
      <c r="L6" s="37"/>
    </row>
    <row r="7" spans="1:12" ht="19.5" customHeight="1" x14ac:dyDescent="0.35">
      <c r="A7" s="40">
        <v>1</v>
      </c>
      <c r="B7" s="763" t="str">
        <f>+'New Year-Full Year'!B6</f>
        <v>Envelope Giving</v>
      </c>
    </row>
    <row r="8" spans="1:12" x14ac:dyDescent="0.35">
      <c r="A8" s="40">
        <v>2</v>
      </c>
      <c r="C8" s="1" t="str">
        <f>+'New Year-Full Year'!C7</f>
        <v>Envelope Giving (general)</v>
      </c>
      <c r="E8" s="35">
        <f>+'New Year-Full Year'!Q7</f>
        <v>475000</v>
      </c>
      <c r="F8" s="35">
        <f>+'New Year-Full Year'!R7</f>
        <v>454500</v>
      </c>
      <c r="G8" s="35">
        <f t="shared" ref="G8:G12" si="0">+E8-F8</f>
        <v>20500</v>
      </c>
      <c r="H8" s="3">
        <f t="shared" ref="H8:H13" si="1">IF(F8=0,"NA",(+E8-F8)/F8)</f>
        <v>4.5104510451045104E-2</v>
      </c>
      <c r="J8" s="35">
        <f>+'New Year-Full Year'!V7</f>
        <v>348158.25</v>
      </c>
      <c r="K8" s="35">
        <f>+'New Year-Full Year'!W7</f>
        <v>318912</v>
      </c>
      <c r="L8" s="3">
        <f t="shared" ref="L8:L13" si="2">IF(K8=0,"NA",(+J8-K8)/K8)</f>
        <v>9.1706332781456956E-2</v>
      </c>
    </row>
    <row r="9" spans="1:12" x14ac:dyDescent="0.35">
      <c r="A9" s="40">
        <v>4</v>
      </c>
      <c r="C9" s="1" t="str">
        <f>+'New Year-Full Year'!C8</f>
        <v>Easter Offerings</v>
      </c>
      <c r="E9" s="35">
        <f>+'New Year-Full Year'!Q8</f>
        <v>4000</v>
      </c>
      <c r="F9" s="35">
        <f>+'New Year-Full Year'!R8</f>
        <v>4000</v>
      </c>
      <c r="G9" s="35">
        <f t="shared" si="0"/>
        <v>0</v>
      </c>
      <c r="H9" s="3">
        <f t="shared" si="1"/>
        <v>0</v>
      </c>
      <c r="J9" s="35">
        <f>+'New Year-Full Year'!V8</f>
        <v>3376</v>
      </c>
      <c r="K9" s="35">
        <f>+'New Year-Full Year'!W8</f>
        <v>4000</v>
      </c>
      <c r="L9" s="3">
        <f t="shared" si="2"/>
        <v>-0.156</v>
      </c>
    </row>
    <row r="10" spans="1:12" x14ac:dyDescent="0.35">
      <c r="A10" s="40">
        <v>5</v>
      </c>
      <c r="C10" s="1" t="e">
        <f>+'New Year-Full Year'!#REF!</f>
        <v>#REF!</v>
      </c>
      <c r="E10" s="35" t="e">
        <f>+'New Year-Full Year'!#REF!</f>
        <v>#REF!</v>
      </c>
      <c r="F10" s="35" t="e">
        <f>+'New Year-Full Year'!#REF!</f>
        <v>#REF!</v>
      </c>
      <c r="G10" s="35" t="e">
        <f t="shared" si="0"/>
        <v>#REF!</v>
      </c>
      <c r="H10" s="3" t="e">
        <f t="shared" si="1"/>
        <v>#REF!</v>
      </c>
      <c r="J10" s="35" t="e">
        <f>+'New Year-Full Year'!#REF!</f>
        <v>#REF!</v>
      </c>
      <c r="K10" s="35" t="e">
        <f>+'New Year-Full Year'!#REF!</f>
        <v>#REF!</v>
      </c>
      <c r="L10" s="3" t="e">
        <f t="shared" si="2"/>
        <v>#REF!</v>
      </c>
    </row>
    <row r="11" spans="1:12" x14ac:dyDescent="0.35">
      <c r="A11" s="40">
        <v>6</v>
      </c>
      <c r="C11" s="1" t="str">
        <f>+'New Year-Full Year'!C9</f>
        <v>Christmas Offerings</v>
      </c>
      <c r="E11" s="35">
        <f>+'New Year-Full Year'!Q9</f>
        <v>6000</v>
      </c>
      <c r="F11" s="35">
        <f>+'New Year-Full Year'!R9</f>
        <v>6000</v>
      </c>
      <c r="G11" s="35">
        <f t="shared" si="0"/>
        <v>0</v>
      </c>
      <c r="H11" s="3">
        <f t="shared" si="1"/>
        <v>0</v>
      </c>
      <c r="J11" s="35">
        <f>+'New Year-Full Year'!V9</f>
        <v>0</v>
      </c>
      <c r="K11" s="35">
        <f>+'New Year-Full Year'!W9</f>
        <v>0</v>
      </c>
      <c r="L11" s="3" t="str">
        <f t="shared" si="2"/>
        <v>NA</v>
      </c>
    </row>
    <row r="12" spans="1:12" x14ac:dyDescent="0.35">
      <c r="A12" s="40">
        <v>7</v>
      </c>
      <c r="C12" s="1" t="str">
        <f>+'New Year-Full Year'!C10</f>
        <v>Lenten Offerings</v>
      </c>
      <c r="E12" s="35">
        <f>+'New Year-Full Year'!Q10</f>
        <v>3000</v>
      </c>
      <c r="F12" s="35">
        <f>+'New Year-Full Year'!R10</f>
        <v>2500</v>
      </c>
      <c r="G12" s="35">
        <f t="shared" si="0"/>
        <v>500</v>
      </c>
      <c r="H12" s="3">
        <f t="shared" si="1"/>
        <v>0.2</v>
      </c>
      <c r="J12" s="35">
        <f>+'New Year-Full Year'!V10</f>
        <v>2830</v>
      </c>
      <c r="K12" s="35">
        <f>+'New Year-Full Year'!W10</f>
        <v>2500</v>
      </c>
      <c r="L12" s="3">
        <f t="shared" si="2"/>
        <v>0.13200000000000001</v>
      </c>
    </row>
    <row r="13" spans="1:12" x14ac:dyDescent="0.35">
      <c r="A13" s="40">
        <v>8</v>
      </c>
      <c r="B13" s="8" t="str">
        <f>+'New Year-Full Year'!B11</f>
        <v>Total Envelope Giving</v>
      </c>
      <c r="C13" s="8"/>
      <c r="D13" s="8"/>
      <c r="E13" s="8" t="e">
        <f>SUM(E8:E12)</f>
        <v>#REF!</v>
      </c>
      <c r="F13" s="8" t="e">
        <f>SUM(F8:F12)</f>
        <v>#REF!</v>
      </c>
      <c r="G13" s="8" t="e">
        <f>SUM(G8:G12)</f>
        <v>#REF!</v>
      </c>
      <c r="H13" s="9" t="e">
        <f t="shared" si="1"/>
        <v>#REF!</v>
      </c>
      <c r="J13" s="8" t="e">
        <f>SUM(J8:J12)</f>
        <v>#REF!</v>
      </c>
      <c r="K13" s="8" t="e">
        <f>SUM(K8:K12)</f>
        <v>#REF!</v>
      </c>
      <c r="L13" s="9" t="e">
        <f t="shared" si="2"/>
        <v>#REF!</v>
      </c>
    </row>
    <row r="14" spans="1:12" ht="19.5" customHeight="1" x14ac:dyDescent="0.35">
      <c r="A14" s="40">
        <v>10</v>
      </c>
      <c r="B14" s="763" t="s">
        <v>6</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Year'!B12</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Year'!B13</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Year'!B14</f>
        <v>Expenses</v>
      </c>
      <c r="H19" s="36"/>
    </row>
    <row r="20" spans="1:12" ht="19.5" customHeight="1" x14ac:dyDescent="0.35">
      <c r="A20" s="5" t="s">
        <v>84</v>
      </c>
      <c r="B20" s="5" t="str">
        <f>+'New Year-Full Year'!B15</f>
        <v>Benevolence</v>
      </c>
      <c r="C20" s="46"/>
      <c r="H20" s="36"/>
    </row>
    <row r="21" spans="1:12" ht="14.5" customHeight="1" x14ac:dyDescent="0.35">
      <c r="A21" s="5"/>
      <c r="B21" s="1"/>
      <c r="C21" s="333" t="str">
        <f>+'New Year-Full Year'!C16</f>
        <v xml:space="preserve">Greater Milwaukee Synod </v>
      </c>
      <c r="E21" s="35">
        <f>+'New Year-Full Year'!Q16</f>
        <v>10000</v>
      </c>
      <c r="F21" s="35">
        <f>+'New Year-Full Year'!R16</f>
        <v>10000</v>
      </c>
      <c r="G21" s="35">
        <f>+E21-F21</f>
        <v>0</v>
      </c>
      <c r="H21" s="3">
        <f>IF(F21=0,"NA",(+E21-F21)/F21)</f>
        <v>0</v>
      </c>
      <c r="J21" s="35">
        <f>+'New Year-Full Year'!V16</f>
        <v>5000</v>
      </c>
      <c r="K21" s="35">
        <f>+'New Year-Full Year'!W16</f>
        <v>5000</v>
      </c>
      <c r="L21" s="3">
        <f>IF(K21=0,"NA",(+J21-K21)/K21)</f>
        <v>0</v>
      </c>
    </row>
    <row r="22" spans="1:12" ht="14.5" hidden="1" customHeight="1" x14ac:dyDescent="0.35">
      <c r="A22" s="5"/>
      <c r="B22" s="1"/>
      <c r="C22" s="333"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3" t="str">
        <f>+'New Year-Full Year'!C17</f>
        <v>Lutherdale Bible Camp</v>
      </c>
      <c r="E23" s="35">
        <f>+'New Year-Full Year'!Q17</f>
        <v>500</v>
      </c>
      <c r="F23" s="35">
        <f>+'New Year-Full Year'!R17</f>
        <v>500</v>
      </c>
      <c r="G23" s="35">
        <f t="shared" si="3"/>
        <v>0</v>
      </c>
      <c r="H23" s="3">
        <f t="shared" si="4"/>
        <v>0</v>
      </c>
      <c r="J23" s="35">
        <f>+'New Year-Full Year'!V17</f>
        <v>250</v>
      </c>
      <c r="K23" s="35">
        <f>+'New Year-Full Year'!W17</f>
        <v>250</v>
      </c>
      <c r="L23" s="3">
        <f t="shared" si="5"/>
        <v>0</v>
      </c>
    </row>
    <row r="24" spans="1:12" ht="14.5" customHeight="1" x14ac:dyDescent="0.35">
      <c r="A24" s="5"/>
      <c r="B24" s="1"/>
      <c r="C24" s="333" t="str">
        <f>+'New Year-Full Year'!C18</f>
        <v>Racine Cluster (Living Faith Meal)</v>
      </c>
      <c r="E24" s="35">
        <f>+'New Year-Full Year'!Q18</f>
        <v>1500</v>
      </c>
      <c r="F24" s="35">
        <f>+'New Year-Full Year'!R18</f>
        <v>1500</v>
      </c>
      <c r="G24" s="35">
        <f t="shared" si="3"/>
        <v>0</v>
      </c>
      <c r="H24" s="3">
        <f t="shared" si="4"/>
        <v>0</v>
      </c>
      <c r="J24" s="35">
        <f>+'New Year-Full Year'!V18</f>
        <v>750</v>
      </c>
      <c r="K24" s="35">
        <f>+'New Year-Full Year'!W18</f>
        <v>750</v>
      </c>
      <c r="L24" s="3">
        <f t="shared" si="5"/>
        <v>0</v>
      </c>
    </row>
    <row r="25" spans="1:12" ht="14.5" customHeight="1" x14ac:dyDescent="0.35">
      <c r="A25" s="5"/>
      <c r="B25" s="1"/>
      <c r="C25" s="333" t="str">
        <f>+'New Year-Full Year'!C19</f>
        <v>Racine Interfaith Coalition</v>
      </c>
      <c r="E25" s="35">
        <f>+'New Year-Full Year'!Q19</f>
        <v>750</v>
      </c>
      <c r="F25" s="35">
        <f>+'New Year-Full Year'!R19</f>
        <v>750</v>
      </c>
      <c r="G25" s="35">
        <f t="shared" si="3"/>
        <v>0</v>
      </c>
      <c r="H25" s="3">
        <f t="shared" si="4"/>
        <v>0</v>
      </c>
      <c r="J25" s="35">
        <f>+'New Year-Full Year'!V19</f>
        <v>375</v>
      </c>
      <c r="K25" s="35">
        <f>+'New Year-Full Year'!W19</f>
        <v>375</v>
      </c>
      <c r="L25" s="3">
        <f t="shared" si="5"/>
        <v>0</v>
      </c>
    </row>
    <row r="26" spans="1:12" ht="14.5" customHeight="1" x14ac:dyDescent="0.35">
      <c r="A26" s="5"/>
      <c r="B26" s="1"/>
      <c r="C26" s="333" t="str">
        <f>+'New Year-Full Year'!C20</f>
        <v>Good Samaritan</v>
      </c>
      <c r="E26" s="35">
        <f>+'New Year-Full Year'!Q20</f>
        <v>500</v>
      </c>
      <c r="F26" s="35">
        <f>+'New Year-Full Year'!R20</f>
        <v>500</v>
      </c>
      <c r="G26" s="35">
        <f t="shared" si="3"/>
        <v>0</v>
      </c>
      <c r="H26" s="3">
        <f t="shared" si="4"/>
        <v>0</v>
      </c>
      <c r="J26" s="35">
        <f>+'New Year-Full Year'!V20</f>
        <v>250</v>
      </c>
      <c r="K26" s="35">
        <f>+'New Year-Full Year'!W20</f>
        <v>250</v>
      </c>
      <c r="L26" s="3">
        <f t="shared" si="5"/>
        <v>0</v>
      </c>
    </row>
    <row r="27" spans="1:12" ht="14.5" customHeight="1" x14ac:dyDescent="0.35">
      <c r="A27" s="5"/>
      <c r="B27" s="1"/>
      <c r="C27" s="333" t="str">
        <f>+'New Year-Full Year'!C24</f>
        <v>HALO</v>
      </c>
      <c r="E27" s="35">
        <f>+'New Year-Full Year'!Q24</f>
        <v>1000</v>
      </c>
      <c r="F27" s="35">
        <f>+'New Year-Full Year'!R24</f>
        <v>1000</v>
      </c>
      <c r="G27" s="35">
        <f t="shared" si="3"/>
        <v>0</v>
      </c>
      <c r="H27" s="3">
        <f t="shared" si="4"/>
        <v>0</v>
      </c>
      <c r="J27" s="35">
        <f>+'New Year-Full Year'!V24</f>
        <v>500</v>
      </c>
      <c r="K27" s="35">
        <f>+'New Year-Full Year'!W24</f>
        <v>500</v>
      </c>
      <c r="L27" s="3">
        <f t="shared" si="5"/>
        <v>0</v>
      </c>
    </row>
    <row r="28" spans="1:12" ht="14.5" customHeight="1" x14ac:dyDescent="0.35">
      <c r="A28" s="5"/>
      <c r="B28" s="1"/>
      <c r="C28" s="333" t="str">
        <f>+'New Year-Full Year'!C25</f>
        <v>Veterans Tiny Homes</v>
      </c>
      <c r="E28" s="35">
        <f>+'New Year-Full Year'!Q25</f>
        <v>1000</v>
      </c>
      <c r="F28" s="35">
        <f>+'New Year-Full Year'!R25</f>
        <v>1000</v>
      </c>
      <c r="G28" s="35">
        <f t="shared" si="3"/>
        <v>0</v>
      </c>
      <c r="H28" s="3">
        <f t="shared" si="4"/>
        <v>0</v>
      </c>
      <c r="J28" s="35">
        <f>+'New Year-Full Year'!V25</f>
        <v>500</v>
      </c>
      <c r="K28" s="35">
        <f>+'New Year-Full Year'!W25</f>
        <v>500</v>
      </c>
      <c r="L28" s="3">
        <f t="shared" si="5"/>
        <v>0</v>
      </c>
    </row>
    <row r="29" spans="1:12" ht="14.5" customHeight="1" x14ac:dyDescent="0.35">
      <c r="A29" s="5"/>
      <c r="B29" s="1"/>
      <c r="C29" s="333" t="str">
        <f>+'New Year-Full Year'!C26</f>
        <v>Hospitality Center</v>
      </c>
      <c r="E29" s="35">
        <f>+'New Year-Full Year'!Q26</f>
        <v>1000</v>
      </c>
      <c r="F29" s="35">
        <f>+'New Year-Full Year'!R26</f>
        <v>1000</v>
      </c>
      <c r="G29" s="35">
        <f t="shared" si="3"/>
        <v>0</v>
      </c>
      <c r="H29" s="3">
        <f t="shared" si="4"/>
        <v>0</v>
      </c>
      <c r="J29" s="35">
        <f>+'New Year-Full Year'!V26</f>
        <v>500</v>
      </c>
      <c r="K29" s="35">
        <f>+'New Year-Full Year'!W26</f>
        <v>500</v>
      </c>
      <c r="L29" s="3">
        <f t="shared" si="5"/>
        <v>0</v>
      </c>
    </row>
    <row r="30" spans="1:12" s="2" customFormat="1" x14ac:dyDescent="0.35">
      <c r="A30" s="40">
        <v>26</v>
      </c>
      <c r="B30" s="10"/>
      <c r="C30" s="10" t="str">
        <f>+'New Year-Full Year'!C27</f>
        <v>3.6% Benevolence Budget                    2.4%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55</v>
      </c>
      <c r="C31" s="14"/>
      <c r="D31" s="13"/>
      <c r="E31" s="775"/>
      <c r="F31" s="775"/>
      <c r="G31" s="15"/>
      <c r="H31" s="16"/>
      <c r="I31" s="13"/>
      <c r="J31" s="775"/>
      <c r="K31" s="775"/>
      <c r="L31" s="16"/>
    </row>
    <row r="32" spans="1:12" ht="19.5" customHeight="1" x14ac:dyDescent="0.35">
      <c r="A32" s="40">
        <v>29</v>
      </c>
      <c r="B32" s="1431" t="str">
        <f>+'New Year-Full Year'!B29</f>
        <v>Parish Ed</v>
      </c>
      <c r="C32" s="1431"/>
      <c r="D32" s="1431"/>
      <c r="H32" s="36"/>
    </row>
    <row r="33" spans="1:12" x14ac:dyDescent="0.35">
      <c r="A33" s="40">
        <v>30</v>
      </c>
      <c r="C33" s="1" t="str">
        <f>+'New Year-Full Year'!C30</f>
        <v>Sunday School</v>
      </c>
      <c r="E33" s="35">
        <f>+'New Year-Full Year'!Q30</f>
        <v>1250</v>
      </c>
      <c r="F33" s="35">
        <f>+'New Year-Full Year'!R30</f>
        <v>1000</v>
      </c>
      <c r="G33" s="35">
        <f t="shared" ref="G33:G38" si="6">+E33-F33</f>
        <v>250</v>
      </c>
      <c r="H33" s="3">
        <f t="shared" ref="H33:H39" si="7">IF(F33=0,"NA",(+E33-F33)/F33)</f>
        <v>0.25</v>
      </c>
      <c r="J33" s="35">
        <f>+'New Year-Full Year'!V30</f>
        <v>1183.1099999999999</v>
      </c>
      <c r="K33" s="35">
        <f>+'New Year-Full Year'!W30</f>
        <v>555.6</v>
      </c>
      <c r="L33" s="3">
        <f t="shared" ref="L33:L39" si="8">IF(K33=0,"NA",(+J33-K33)/K33)</f>
        <v>1.1294276457883368</v>
      </c>
    </row>
    <row r="34" spans="1:12" x14ac:dyDescent="0.35">
      <c r="A34" s="40">
        <v>31</v>
      </c>
      <c r="C34" s="1" t="str">
        <f>+'New Year-Full Year'!C31</f>
        <v>Confirmation</v>
      </c>
      <c r="E34" s="35">
        <f>+'New Year-Full Year'!Q31</f>
        <v>750</v>
      </c>
      <c r="F34" s="35">
        <f>+'New Year-Full Year'!R31</f>
        <v>500</v>
      </c>
      <c r="G34" s="35">
        <f t="shared" si="6"/>
        <v>250</v>
      </c>
      <c r="H34" s="3">
        <f t="shared" si="7"/>
        <v>0.5</v>
      </c>
      <c r="J34" s="35">
        <f>+'New Year-Full Year'!V31</f>
        <v>81.66</v>
      </c>
      <c r="K34" s="35">
        <f>+'New Year-Full Year'!W31</f>
        <v>500</v>
      </c>
      <c r="L34" s="3">
        <f t="shared" si="8"/>
        <v>-0.83668000000000009</v>
      </c>
    </row>
    <row r="35" spans="1:12" x14ac:dyDescent="0.35">
      <c r="A35" s="40">
        <v>32</v>
      </c>
      <c r="C35" s="1" t="e">
        <f>+'New Year-Full Year'!#REF!</f>
        <v>#REF!</v>
      </c>
      <c r="E35" s="35" t="e">
        <f>+'New Year-Full Year'!#REF!</f>
        <v>#REF!</v>
      </c>
      <c r="F35" s="35" t="e">
        <f>+'New Year-Full Year'!#REF!</f>
        <v>#REF!</v>
      </c>
      <c r="G35" s="35" t="e">
        <f t="shared" si="6"/>
        <v>#REF!</v>
      </c>
      <c r="H35" s="3" t="e">
        <f t="shared" si="7"/>
        <v>#REF!</v>
      </c>
      <c r="J35" s="35" t="e">
        <f>+'New Year-Full Year'!#REF!</f>
        <v>#REF!</v>
      </c>
      <c r="K35" s="35" t="e">
        <f>+'New Year-Full Year'!#REF!</f>
        <v>#REF!</v>
      </c>
      <c r="L35" s="3" t="e">
        <f t="shared" si="8"/>
        <v>#REF!</v>
      </c>
    </row>
    <row r="36" spans="1:12" x14ac:dyDescent="0.35">
      <c r="A36" s="40">
        <v>33</v>
      </c>
      <c r="C36" s="1" t="str">
        <f>+'New Year-Full Year'!C32</f>
        <v>Library</v>
      </c>
      <c r="E36" s="35">
        <f>+'New Year-Full Year'!Q32</f>
        <v>300</v>
      </c>
      <c r="F36" s="35">
        <f>+'New Year-Full Year'!R32</f>
        <v>300</v>
      </c>
      <c r="G36" s="35">
        <f t="shared" si="6"/>
        <v>0</v>
      </c>
      <c r="H36" s="3">
        <f t="shared" si="7"/>
        <v>0</v>
      </c>
      <c r="J36" s="35">
        <f>+'New Year-Full Year'!V32</f>
        <v>0</v>
      </c>
      <c r="K36" s="35">
        <f>+'New Year-Full Year'!W32</f>
        <v>0</v>
      </c>
      <c r="L36" s="3" t="str">
        <f t="shared" si="8"/>
        <v>NA</v>
      </c>
    </row>
    <row r="37" spans="1:12" x14ac:dyDescent="0.35">
      <c r="A37" s="40">
        <v>34</v>
      </c>
      <c r="C37" s="1" t="str">
        <f>+'New Year-Full Year'!C33</f>
        <v>Communion Education</v>
      </c>
      <c r="E37" s="35">
        <f>+'New Year-Full Year'!Q33</f>
        <v>200</v>
      </c>
      <c r="F37" s="35">
        <f>+'New Year-Full Year'!R33</f>
        <v>0</v>
      </c>
      <c r="G37" s="35">
        <f t="shared" si="6"/>
        <v>200</v>
      </c>
      <c r="H37" s="3" t="str">
        <f t="shared" si="7"/>
        <v>NA</v>
      </c>
      <c r="J37" s="35">
        <f>+'New Year-Full Year'!V33</f>
        <v>0</v>
      </c>
      <c r="K37" s="35">
        <f>+'New Year-Full Year'!W33</f>
        <v>0</v>
      </c>
      <c r="L37" s="3" t="str">
        <f t="shared" si="8"/>
        <v>NA</v>
      </c>
    </row>
    <row r="38" spans="1:12" x14ac:dyDescent="0.35">
      <c r="C38" s="1" t="str">
        <f>+'New Year-Full Year'!C34</f>
        <v>Adult Education</v>
      </c>
      <c r="E38" s="35">
        <f>+'New Year-Full Year'!Q34</f>
        <v>750</v>
      </c>
      <c r="F38" s="35">
        <f>+'New Year-Full Year'!R34</f>
        <v>500</v>
      </c>
      <c r="G38" s="35">
        <f t="shared" si="6"/>
        <v>250</v>
      </c>
      <c r="H38" s="3">
        <f t="shared" si="7"/>
        <v>0.5</v>
      </c>
      <c r="J38" s="35">
        <f>+'New Year-Full Year'!V34</f>
        <v>434.69</v>
      </c>
      <c r="K38" s="35">
        <f>+'New Year-Full Year'!W34</f>
        <v>333.36</v>
      </c>
      <c r="L38" s="3">
        <f>IF(K38=0,"NA",(+J38-K38)/K38)</f>
        <v>0.30396568274538033</v>
      </c>
    </row>
    <row r="39" spans="1:12" s="2" customFormat="1" x14ac:dyDescent="0.35">
      <c r="A39" s="40">
        <v>36</v>
      </c>
      <c r="B39" s="34" t="str">
        <f>+'New Year-Full Year'!B35</f>
        <v>Total Parish Ed</v>
      </c>
      <c r="C39" s="34"/>
      <c r="D39" s="34"/>
      <c r="E39" s="34" t="e">
        <f>SUM(E33:E38)</f>
        <v>#REF!</v>
      </c>
      <c r="F39" s="34" t="e">
        <f>SUM(F33:F38)</f>
        <v>#REF!</v>
      </c>
      <c r="G39" s="34" t="e">
        <f>SUM(G33:G38)</f>
        <v>#REF!</v>
      </c>
      <c r="H39" s="19" t="e">
        <f t="shared" si="7"/>
        <v>#REF!</v>
      </c>
      <c r="J39" s="34" t="e">
        <f>SUM(J33:J38)</f>
        <v>#REF!</v>
      </c>
      <c r="K39" s="34" t="e">
        <f>SUM(K33:K38)</f>
        <v>#REF!</v>
      </c>
      <c r="L39" s="19" t="e">
        <f t="shared" si="8"/>
        <v>#REF!</v>
      </c>
    </row>
    <row r="40" spans="1:12" ht="19.5" customHeight="1" x14ac:dyDescent="0.35">
      <c r="A40" s="40">
        <v>40</v>
      </c>
      <c r="B40" s="763" t="str">
        <f>+'New Year-Full Year'!B36</f>
        <v>Worship</v>
      </c>
      <c r="H40" s="36"/>
    </row>
    <row r="41" spans="1:12" x14ac:dyDescent="0.35">
      <c r="A41" s="40">
        <v>41</v>
      </c>
      <c r="C41" s="1" t="str">
        <f>+'New Year-Full Year'!C37</f>
        <v>Worship Supplies</v>
      </c>
      <c r="E41" s="35">
        <f>+'New Year-Full Year'!Q37</f>
        <v>4000</v>
      </c>
      <c r="F41" s="35">
        <f>+'New Year-Full Year'!R37</f>
        <v>4000</v>
      </c>
      <c r="G41" s="35">
        <f>+E41-F41</f>
        <v>0</v>
      </c>
      <c r="H41" s="3">
        <f>IF(F41=0,"NA",(+E41-F41)/F41)</f>
        <v>0</v>
      </c>
      <c r="J41" s="35">
        <f>+'New Year-Full Year'!V37</f>
        <v>1717.45</v>
      </c>
      <c r="K41" s="35">
        <f>+'New Year-Full Year'!W37</f>
        <v>2666.64</v>
      </c>
      <c r="L41" s="3">
        <f>IF(K41=0,"NA",(+J41-K41)/K41)</f>
        <v>-0.35594980949809496</v>
      </c>
    </row>
    <row r="42" spans="1:12" x14ac:dyDescent="0.35">
      <c r="A42" s="40">
        <v>44</v>
      </c>
      <c r="C42" s="1" t="str">
        <f>+'New Year-Full Year'!C38</f>
        <v>Flowers</v>
      </c>
      <c r="E42" s="35">
        <f>+'New Year-Full Year'!Q38</f>
        <v>100</v>
      </c>
      <c r="F42" s="35">
        <f>+'New Year-Full Year'!R38</f>
        <v>100</v>
      </c>
      <c r="G42" s="35">
        <f>+E42-F42</f>
        <v>0</v>
      </c>
      <c r="H42" s="3">
        <f>IF(F42=0,"NA",(+E42-F42)/F42)</f>
        <v>0</v>
      </c>
      <c r="J42" s="35">
        <f>+'New Year-Full Year'!V38</f>
        <v>41</v>
      </c>
      <c r="K42" s="35">
        <f>+'New Year-Full Year'!W38</f>
        <v>66.64</v>
      </c>
      <c r="L42" s="3">
        <f>IF(K42=0,"NA",(+J42-K42)/K42)</f>
        <v>-0.38475390156062428</v>
      </c>
    </row>
    <row r="43" spans="1:12" s="2" customFormat="1" x14ac:dyDescent="0.35">
      <c r="A43" s="40">
        <v>45</v>
      </c>
      <c r="B43" s="34" t="str">
        <f>+'New Year-Full Year'!B39</f>
        <v>Total Worship</v>
      </c>
      <c r="C43" s="34"/>
      <c r="D43" s="34"/>
      <c r="E43" s="34">
        <f>SUM(E41:E42)</f>
        <v>4100</v>
      </c>
      <c r="F43" s="34">
        <f>SUM(F41:F42)</f>
        <v>4100</v>
      </c>
      <c r="G43" s="34">
        <f>SUM(G41:G42)</f>
        <v>0</v>
      </c>
      <c r="H43" s="19">
        <f>IF(F43=0,"NA",(+E43-F43)/F43)</f>
        <v>0</v>
      </c>
      <c r="J43" s="34">
        <f>SUM(J41:J42)</f>
        <v>1758.45</v>
      </c>
      <c r="K43" s="34">
        <f>SUM(K41:K42)</f>
        <v>2733.2799999999997</v>
      </c>
      <c r="L43" s="19">
        <f>IF(K43=0,"NA",(+J43-K43)/K43)</f>
        <v>-0.35665208101621487</v>
      </c>
    </row>
    <row r="44" spans="1:12" ht="6.75" customHeight="1" x14ac:dyDescent="0.35">
      <c r="A44" s="40">
        <v>46</v>
      </c>
      <c r="H44" s="36"/>
    </row>
    <row r="45" spans="1:12" s="2" customFormat="1" x14ac:dyDescent="0.35">
      <c r="A45" s="40">
        <v>51</v>
      </c>
      <c r="B45" s="34" t="e">
        <f>+'New Year-Full Year'!#REF!</f>
        <v>#REF!</v>
      </c>
      <c r="C45" s="34"/>
      <c r="D45" s="34"/>
      <c r="E45" s="34">
        <f>+'New Year-Full Year'!Q40</f>
        <v>3000</v>
      </c>
      <c r="F45" s="34">
        <f>+'New Year-Full Year'!R40</f>
        <v>3000</v>
      </c>
      <c r="G45" s="34">
        <f>+E45-F45</f>
        <v>0</v>
      </c>
      <c r="H45" s="19">
        <f>IF(F45=0,"NA",(+E45-F45)/F45)</f>
        <v>0</v>
      </c>
      <c r="J45" s="34">
        <f>+'New Year-Full Year'!V40</f>
        <v>1689.01</v>
      </c>
      <c r="K45" s="34">
        <f>+'New Year-Full Year'!W40</f>
        <v>2000</v>
      </c>
      <c r="L45" s="19">
        <f>IF(K45=0,"NA",(+J45-K45)/K45)</f>
        <v>-0.15549499999999999</v>
      </c>
    </row>
    <row r="46" spans="1:12" ht="19.5" customHeight="1" x14ac:dyDescent="0.35">
      <c r="A46" s="40">
        <v>53</v>
      </c>
      <c r="B46" s="763"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Year'!Q42</f>
        <v>250</v>
      </c>
      <c r="F50" s="42">
        <f>+'New Year-Full Year'!R42</f>
        <v>250</v>
      </c>
      <c r="G50" s="34">
        <f>+E50-F50</f>
        <v>0</v>
      </c>
      <c r="H50" s="19">
        <f>IF(F50=0,"NA",(+E50-F50)/F50)</f>
        <v>0</v>
      </c>
      <c r="J50" s="42">
        <f>+'New Year-Full Year'!V42</f>
        <v>0</v>
      </c>
      <c r="K50" s="42">
        <f>+'New Year-Full Year'!W42</f>
        <v>0</v>
      </c>
      <c r="L50" s="19" t="str">
        <f>IF(K50=0,"NA",(+J50-K50)/K50)</f>
        <v>NA</v>
      </c>
    </row>
    <row r="51" spans="1:12" ht="19.5" customHeight="1" x14ac:dyDescent="0.35">
      <c r="A51" s="40">
        <v>60</v>
      </c>
      <c r="B51" s="763" t="str">
        <f>+'New Year-Full Year'!B43</f>
        <v>Misc Programs</v>
      </c>
      <c r="H51" s="36"/>
    </row>
    <row r="52" spans="1:12" x14ac:dyDescent="0.35">
      <c r="A52" s="40">
        <v>61</v>
      </c>
      <c r="C52" s="1" t="str">
        <f>+'New Year-Full Year'!C44</f>
        <v>Stewardship</v>
      </c>
      <c r="E52" s="35">
        <f>+'New Year-Full Year'!Q44</f>
        <v>200</v>
      </c>
      <c r="F52" s="35">
        <f>+'New Year-Full Year'!R44</f>
        <v>200</v>
      </c>
      <c r="G52" s="35">
        <f t="shared" ref="G52:G56" si="9">+E52-F52</f>
        <v>0</v>
      </c>
      <c r="H52" s="3">
        <f t="shared" ref="H52:H57" si="10">IF(F52=0,"NA",(+E52-F52)/F52)</f>
        <v>0</v>
      </c>
      <c r="J52" s="35">
        <f>+'New Year-Full Year'!V44</f>
        <v>0</v>
      </c>
      <c r="K52" s="35">
        <f>+'New Year-Full Year'!W44</f>
        <v>0</v>
      </c>
      <c r="L52" s="3" t="str">
        <f t="shared" ref="L52:L57" si="11">IF(K52=0,"NA",(+J52-K52)/K52)</f>
        <v>NA</v>
      </c>
    </row>
    <row r="53" spans="1:12" x14ac:dyDescent="0.35">
      <c r="A53" s="40">
        <v>62</v>
      </c>
      <c r="C53" s="1" t="str">
        <f>+'New Year-Full Year'!C51</f>
        <v>Envelopes, Giving</v>
      </c>
      <c r="E53" s="35">
        <f>+'New Year-Full Year'!Q51</f>
        <v>400</v>
      </c>
      <c r="F53" s="35">
        <f>+'New Year-Full Year'!R51</f>
        <v>300</v>
      </c>
      <c r="G53" s="35">
        <f t="shared" si="9"/>
        <v>100</v>
      </c>
      <c r="H53" s="3">
        <f t="shared" si="10"/>
        <v>0.33333333333333331</v>
      </c>
      <c r="J53" s="35">
        <f>+'New Year-Full Year'!V51</f>
        <v>0</v>
      </c>
      <c r="K53" s="35">
        <f>+'New Year-Full Year'!W51</f>
        <v>0</v>
      </c>
      <c r="L53" s="3" t="str">
        <f t="shared" si="11"/>
        <v>NA</v>
      </c>
    </row>
    <row r="54" spans="1:12" x14ac:dyDescent="0.35">
      <c r="A54" s="40">
        <v>63</v>
      </c>
      <c r="C54" s="1" t="str">
        <f>+'New Year-Full Year'!C52</f>
        <v>Synod Assembly</v>
      </c>
      <c r="E54" s="35">
        <f>+'New Year-Full Year'!Q52</f>
        <v>900</v>
      </c>
      <c r="F54" s="35">
        <f>+'New Year-Full Year'!R52</f>
        <v>750</v>
      </c>
      <c r="G54" s="35">
        <f t="shared" si="9"/>
        <v>150</v>
      </c>
      <c r="H54" s="3">
        <f t="shared" si="10"/>
        <v>0.2</v>
      </c>
      <c r="J54" s="35">
        <f>+'New Year-Full Year'!V52</f>
        <v>270</v>
      </c>
      <c r="K54" s="35">
        <f>+'New Year-Full Year'!W52</f>
        <v>750</v>
      </c>
      <c r="L54" s="3">
        <f t="shared" si="11"/>
        <v>-0.64</v>
      </c>
    </row>
    <row r="55" spans="1:12" x14ac:dyDescent="0.35">
      <c r="C55" s="1" t="str">
        <f>+'New Year-Full Year'!C53</f>
        <v>Other Programs</v>
      </c>
      <c r="E55" s="35">
        <f>+'New Year-Full Year'!Q53</f>
        <v>700</v>
      </c>
      <c r="F55" s="35">
        <f>+'New Year-Full Year'!R53</f>
        <v>700</v>
      </c>
      <c r="G55" s="35">
        <f t="shared" si="9"/>
        <v>0</v>
      </c>
      <c r="H55" s="3">
        <f>IF(F55=0,"NA",(+E55-F55)/F55)</f>
        <v>0</v>
      </c>
      <c r="J55" s="35">
        <f>+'New Year-Full Year'!V53</f>
        <v>200</v>
      </c>
      <c r="K55" s="35">
        <f>+'New Year-Full Year'!W53</f>
        <v>466.64</v>
      </c>
      <c r="L55" s="3">
        <f>IF(K55=0,"NA",(+J55-K55)/K55)</f>
        <v>-0.57140408023315614</v>
      </c>
    </row>
    <row r="56" spans="1:12" x14ac:dyDescent="0.35">
      <c r="A56" s="40">
        <v>65</v>
      </c>
      <c r="C56" s="1" t="str">
        <f>+'New Year-Full Year'!C54</f>
        <v>Organ/Piano Maintenance</v>
      </c>
      <c r="E56" s="35">
        <f>+'New Year-Full Year'!Q54</f>
        <v>500</v>
      </c>
      <c r="F56" s="35">
        <f>+'New Year-Full Year'!R54</f>
        <v>500</v>
      </c>
      <c r="G56" s="35">
        <f t="shared" si="9"/>
        <v>0</v>
      </c>
      <c r="H56" s="3">
        <f t="shared" si="10"/>
        <v>0</v>
      </c>
      <c r="J56" s="35">
        <f>+'New Year-Full Year'!V54</f>
        <v>120</v>
      </c>
      <c r="K56" s="35">
        <f>+'New Year-Full Year'!W54</f>
        <v>333.36</v>
      </c>
      <c r="L56" s="3">
        <f t="shared" si="11"/>
        <v>-0.64002879769618437</v>
      </c>
    </row>
    <row r="57" spans="1:12" s="2" customFormat="1" x14ac:dyDescent="0.35">
      <c r="A57" s="40">
        <v>66</v>
      </c>
      <c r="B57" s="34" t="str">
        <f>+'New Year-Full Year'!B55</f>
        <v>Total Misc Programs</v>
      </c>
      <c r="C57" s="34"/>
      <c r="D57" s="34"/>
      <c r="E57" s="34">
        <f>SUM(E52:E56)</f>
        <v>2700</v>
      </c>
      <c r="F57" s="34">
        <f>SUM(F52:F56)</f>
        <v>2450</v>
      </c>
      <c r="G57" s="34">
        <f>SUM(G52:G56)</f>
        <v>250</v>
      </c>
      <c r="H57" s="19">
        <f t="shared" si="10"/>
        <v>0.10204081632653061</v>
      </c>
      <c r="J57" s="34">
        <f>SUM(J52:J56)</f>
        <v>590</v>
      </c>
      <c r="K57" s="34">
        <f>SUM(K52:K56)</f>
        <v>1550</v>
      </c>
      <c r="L57" s="19">
        <f t="shared" si="11"/>
        <v>-0.61935483870967745</v>
      </c>
    </row>
    <row r="58" spans="1:12" ht="19.5" customHeight="1" x14ac:dyDescent="0.35">
      <c r="A58" s="40">
        <v>68</v>
      </c>
      <c r="B58" s="763" t="str">
        <f>+'New Year-Full Year'!B56</f>
        <v>Office Expense</v>
      </c>
      <c r="H58" s="36"/>
    </row>
    <row r="59" spans="1:12" x14ac:dyDescent="0.35">
      <c r="A59" s="40">
        <v>69</v>
      </c>
      <c r="C59" s="1" t="str">
        <f>+'New Year-Full Year'!C57</f>
        <v>Office Supplies</v>
      </c>
      <c r="E59" s="35">
        <f>+'New Year-Full Year'!Q57</f>
        <v>2000</v>
      </c>
      <c r="F59" s="35">
        <f>+'New Year-Full Year'!R57</f>
        <v>2000</v>
      </c>
      <c r="G59" s="35">
        <f t="shared" ref="G59:G65" si="12">+E59-F59</f>
        <v>0</v>
      </c>
      <c r="H59" s="3">
        <f t="shared" ref="H59:H67" si="13">IF(F59=0,"NA",(+E59-F59)/F59)</f>
        <v>0</v>
      </c>
      <c r="J59" s="35">
        <f>+'New Year-Full Year'!V57</f>
        <v>1134.05</v>
      </c>
      <c r="K59" s="35">
        <f>+'New Year-Full Year'!W57</f>
        <v>1333.36</v>
      </c>
      <c r="L59" s="3">
        <f t="shared" ref="L59:L67" si="14">IF(K59=0,"NA",(+J59-K59)/K59)</f>
        <v>-0.14947951040979177</v>
      </c>
    </row>
    <row r="60" spans="1:12" x14ac:dyDescent="0.35">
      <c r="A60" s="40">
        <v>70</v>
      </c>
      <c r="C60" s="1" t="str">
        <f>+'New Year-Full Year'!C58</f>
        <v>Postage</v>
      </c>
      <c r="E60" s="35">
        <f>+'New Year-Full Year'!Q58</f>
        <v>2000</v>
      </c>
      <c r="F60" s="35">
        <f>+'New Year-Full Year'!R58</f>
        <v>2000</v>
      </c>
      <c r="G60" s="35">
        <f t="shared" si="12"/>
        <v>0</v>
      </c>
      <c r="H60" s="3">
        <f t="shared" si="13"/>
        <v>0</v>
      </c>
      <c r="J60" s="35">
        <f>+'New Year-Full Year'!V58</f>
        <v>0</v>
      </c>
      <c r="K60" s="35">
        <f>+'New Year-Full Year'!W58</f>
        <v>1333.36</v>
      </c>
      <c r="L60" s="3">
        <f t="shared" si="14"/>
        <v>-1</v>
      </c>
    </row>
    <row r="61" spans="1:12" x14ac:dyDescent="0.35">
      <c r="C61" s="1" t="str">
        <f>+'New Year-Full Year'!C59</f>
        <v>Technology - Subscriptions</v>
      </c>
      <c r="E61" s="35">
        <f>+'New Year-Full Year'!Q59</f>
        <v>10719</v>
      </c>
      <c r="F61" s="35">
        <f>+'New Year-Full Year'!R59</f>
        <v>10719</v>
      </c>
      <c r="G61" s="35">
        <f t="shared" ref="G61" si="15">+E61-F61</f>
        <v>0</v>
      </c>
      <c r="H61" s="3">
        <f t="shared" ref="H61" si="16">IF(F61=0,"NA",(+E61-F61)/F61)</f>
        <v>0</v>
      </c>
      <c r="J61" s="35">
        <f>+'New Year-Full Year'!V59</f>
        <v>5950.85</v>
      </c>
      <c r="K61" s="35">
        <f>+'New Year-Full Year'!W59</f>
        <v>7146</v>
      </c>
      <c r="L61" s="3">
        <f t="shared" ref="L61" si="17">IF(K61=0,"NA",(+J61-K61)/K61)</f>
        <v>-0.16724741113909875</v>
      </c>
    </row>
    <row r="62" spans="1:12" x14ac:dyDescent="0.35">
      <c r="A62" s="40">
        <v>73</v>
      </c>
      <c r="C62" s="1" t="str">
        <f>+'New Year-Full Year'!C61</f>
        <v>Office Equipment/Computer</v>
      </c>
      <c r="E62" s="35">
        <f>+'New Year-Full Year'!Q61</f>
        <v>6000</v>
      </c>
      <c r="F62" s="35">
        <f>+'New Year-Full Year'!R61</f>
        <v>5894</v>
      </c>
      <c r="G62" s="35">
        <f t="shared" si="12"/>
        <v>106</v>
      </c>
      <c r="H62" s="3">
        <f t="shared" si="13"/>
        <v>1.7984390906006106E-2</v>
      </c>
      <c r="J62" s="35">
        <f>+'New Year-Full Year'!V61</f>
        <v>4014.13</v>
      </c>
      <c r="K62" s="35">
        <f>+'New Year-Full Year'!W61</f>
        <v>3929.36</v>
      </c>
      <c r="L62" s="3">
        <f t="shared" si="14"/>
        <v>2.157348779444998E-2</v>
      </c>
    </row>
    <row r="63" spans="1:12" x14ac:dyDescent="0.35">
      <c r="A63" s="40">
        <v>74</v>
      </c>
      <c r="C63" s="1" t="str">
        <f>+'New Year-Full Year'!C62</f>
        <v>Kitchen Supplies</v>
      </c>
      <c r="E63" s="35">
        <f>+'New Year-Full Year'!Q62</f>
        <v>700</v>
      </c>
      <c r="F63" s="35">
        <f>+'New Year-Full Year'!R62</f>
        <v>700</v>
      </c>
      <c r="G63" s="35">
        <f t="shared" si="12"/>
        <v>0</v>
      </c>
      <c r="H63" s="3">
        <f t="shared" si="13"/>
        <v>0</v>
      </c>
      <c r="J63" s="35">
        <f>+'New Year-Full Year'!V62</f>
        <v>612.4</v>
      </c>
      <c r="K63" s="35">
        <f>+'New Year-Full Year'!W62</f>
        <v>466.64</v>
      </c>
      <c r="L63" s="3">
        <f t="shared" si="14"/>
        <v>0.31236070632607577</v>
      </c>
    </row>
    <row r="64" spans="1:12" x14ac:dyDescent="0.35">
      <c r="A64" s="40">
        <v>75</v>
      </c>
      <c r="C64" s="1" t="str">
        <f>+'New Year-Full Year'!C63</f>
        <v>Bank Fees</v>
      </c>
      <c r="E64" s="35">
        <f>+'New Year-Full Year'!Q63</f>
        <v>3000</v>
      </c>
      <c r="F64" s="35">
        <f>+'New Year-Full Year'!R63</f>
        <v>3000</v>
      </c>
      <c r="G64" s="35">
        <f t="shared" si="12"/>
        <v>0</v>
      </c>
      <c r="H64" s="3">
        <f t="shared" si="13"/>
        <v>0</v>
      </c>
      <c r="J64" s="35">
        <f>+'New Year-Full Year'!V63</f>
        <v>2146.23</v>
      </c>
      <c r="K64" s="35">
        <f>+'New Year-Full Year'!W63</f>
        <v>2000</v>
      </c>
      <c r="L64" s="3">
        <f t="shared" si="14"/>
        <v>7.3115000000000013E-2</v>
      </c>
    </row>
    <row r="65" spans="1:13" x14ac:dyDescent="0.35">
      <c r="A65" s="40">
        <v>76</v>
      </c>
      <c r="C65" s="1" t="str">
        <f>+'New Year-Full Year'!C64</f>
        <v>Professional Fees</v>
      </c>
      <c r="E65" s="35">
        <f>+'New Year-Full Year'!Q64</f>
        <v>200</v>
      </c>
      <c r="F65" s="35">
        <f>+'New Year-Full Year'!R64</f>
        <v>200</v>
      </c>
      <c r="G65" s="35">
        <f t="shared" si="12"/>
        <v>0</v>
      </c>
      <c r="H65" s="3">
        <f>IF(F65=0,"NA",(+E65-F65)/F65)</f>
        <v>0</v>
      </c>
      <c r="J65" s="35">
        <f>+'New Year-Full Year'!V64</f>
        <v>0</v>
      </c>
      <c r="K65" s="35">
        <f>+'New Year-Full Year'!W64</f>
        <v>133.36000000000001</v>
      </c>
      <c r="L65" s="3">
        <f>IF(K65=0,"NA",(+J65-K65)/K65)</f>
        <v>-1</v>
      </c>
    </row>
    <row r="66" spans="1:13" s="2" customFormat="1" x14ac:dyDescent="0.35">
      <c r="A66" s="40">
        <v>76</v>
      </c>
      <c r="B66" s="34" t="str">
        <f>+'New Year-Full Year'!B65</f>
        <v>Total Office Expense</v>
      </c>
      <c r="C66" s="34"/>
      <c r="D66" s="34"/>
      <c r="E66" s="34">
        <f>SUM(E59:E65)</f>
        <v>24619</v>
      </c>
      <c r="F66" s="34">
        <f>SUM(F59:F65)</f>
        <v>24513</v>
      </c>
      <c r="G66" s="34">
        <f>SUM(G59:G65)</f>
        <v>106</v>
      </c>
      <c r="H66" s="19">
        <f t="shared" si="13"/>
        <v>4.3242361196100029E-3</v>
      </c>
      <c r="J66" s="34">
        <f>SUM(J59:J65)</f>
        <v>13857.66</v>
      </c>
      <c r="K66" s="34">
        <f>SUM(K59:K65)</f>
        <v>16342.08</v>
      </c>
      <c r="L66" s="19">
        <f t="shared" si="14"/>
        <v>-0.15202593549903073</v>
      </c>
    </row>
    <row r="67" spans="1:13" x14ac:dyDescent="0.35">
      <c r="A67" s="40">
        <v>77</v>
      </c>
      <c r="B67" s="34" t="str">
        <f>+'New Year-Full Year'!B66</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31</v>
      </c>
      <c r="H68" s="36"/>
    </row>
    <row r="69" spans="1:13" hidden="1" x14ac:dyDescent="0.35">
      <c r="B69" s="2" t="s">
        <v>243</v>
      </c>
      <c r="H69" s="36"/>
    </row>
    <row r="70" spans="1:13" hidden="1" x14ac:dyDescent="0.35">
      <c r="A70" s="40">
        <v>81</v>
      </c>
      <c r="C70" s="1422" t="s">
        <v>297</v>
      </c>
      <c r="D70" s="1422"/>
      <c r="E70" s="35" t="e">
        <f>'New Year-Full Year'!Q$87+'New Year-Full Year'!#REF!+'New Year-Full Year'!Q$94+SUM('New Year-Full Year'!Q$96:Q$97)+SUM('New Year-Full Year'!#REF!)+'New Year-Full Year'!Q$107</f>
        <v>#REF!</v>
      </c>
      <c r="F70" s="35" t="e">
        <f>'New Year-Full Year'!R$87+'New Year-Full Year'!#REF!+'New Year-Full Year'!R$94+SUM('New Year-Full Year'!R$96:R$97)+SUM('New Year-Full Year'!#REF!)+'New Year-Full Year'!R$107</f>
        <v>#REF!</v>
      </c>
      <c r="G70" s="35" t="e">
        <f>+E70-F70</f>
        <v>#REF!</v>
      </c>
      <c r="H70" s="3" t="e">
        <f>IF(F70=0,"NA",(+E70-F70)/F70)</f>
        <v>#REF!</v>
      </c>
      <c r="J70" s="35" t="e">
        <f>'New Year-Full Year'!V$87+'New Year-Full Year'!#REF!+'New Year-Full Year'!V$94+SUM('New Year-Full Year'!V$96:V$97)+SUM('New Year-Full Year'!#REF!)+'New Year-Full Year'!V$107</f>
        <v>#REF!</v>
      </c>
      <c r="K70" s="35" t="e">
        <f>'New Year-Full Year'!W$87+'New Year-Full Year'!#REF!+'New Year-Full Year'!W$94+SUM('New Year-Full Year'!W$96:W$97)+SUM('New Year-Full Year'!#REF!)+'New Year-Full Year'!W$107</f>
        <v>#REF!</v>
      </c>
      <c r="L70" s="3" t="e">
        <f>IF(K70=0,"NA",(+J70-K70)/K70)</f>
        <v>#REF!</v>
      </c>
    </row>
    <row r="71" spans="1:13" hidden="1" x14ac:dyDescent="0.35">
      <c r="A71" s="40">
        <v>83</v>
      </c>
      <c r="C71" s="1" t="s">
        <v>92</v>
      </c>
      <c r="E71" s="35">
        <f>+'New Year-Full Year'!Q103+'New Year-Full Year'!Q104+'New Year-Full Year'!Q105+'New Year-Full Year'!Q106</f>
        <v>16646</v>
      </c>
      <c r="F71" s="35">
        <f>+'New Year-Full Year'!R103+'New Year-Full Year'!R104+'New Year-Full Year'!R105+'New Year-Full Year'!R106</f>
        <v>16020</v>
      </c>
      <c r="G71" s="35">
        <f>+E71-F71</f>
        <v>626</v>
      </c>
      <c r="H71" s="3">
        <f>IF(F71=0,"NA",(+E71-F71)/F71)</f>
        <v>3.9076154806491882E-2</v>
      </c>
      <c r="J71" s="35">
        <f>+'New Year-Full Year'!V103+'New Year-Full Year'!V104+'New Year-Full Year'!V105+'New Year-Full Year'!V106</f>
        <v>6237.2</v>
      </c>
      <c r="K71" s="35">
        <f>+'New Year-Full Year'!W103+'New Year-Full Year'!W104+'New Year-Full Year'!W105+'New Year-Full Year'!W106</f>
        <v>9442</v>
      </c>
      <c r="L71" s="3">
        <f>IF(K71=0,"NA",(+J71-K71)/K71)</f>
        <v>-0.33941961448845587</v>
      </c>
      <c r="M71" s="254"/>
    </row>
    <row r="72" spans="1:13" hidden="1" x14ac:dyDescent="0.35">
      <c r="B72" s="2" t="s">
        <v>244</v>
      </c>
      <c r="D72" s="2" t="s">
        <v>504</v>
      </c>
      <c r="E72" s="35"/>
      <c r="F72" s="35"/>
      <c r="G72" s="35"/>
      <c r="H72" s="3"/>
      <c r="J72" s="35"/>
      <c r="K72" s="35"/>
      <c r="L72" s="3"/>
      <c r="M72" s="254"/>
    </row>
    <row r="73" spans="1:13" hidden="1" x14ac:dyDescent="0.35">
      <c r="C73" s="1422" t="s">
        <v>245</v>
      </c>
      <c r="D73" s="1422"/>
      <c r="E73" s="35" t="e">
        <f>'New Year-Full Year'!#REF!+'New Year-Full Year'!#REF!++'New Year-Full Year'!Q$69+SUM('New Year-Full Year'!Q70:Q76)</f>
        <v>#REF!</v>
      </c>
      <c r="F73" s="35" t="e">
        <f>'New Year-Full Year'!#REF!+'New Year-Full Year'!#REF!++'New Year-Full Year'!R$69+SUM('New Year-Full Year'!R70:R76)</f>
        <v>#REF!</v>
      </c>
      <c r="G73" s="35" t="e">
        <f>+E73-F73</f>
        <v>#REF!</v>
      </c>
      <c r="H73" s="3" t="e">
        <f>IF(F73=0,"NA",(+E73-F73)/F73)</f>
        <v>#REF!</v>
      </c>
      <c r="J73" s="35" t="e">
        <f>'New Year-Full Year'!#REF!+'New Year-Full Year'!#REF!++'New Year-Full Year'!V$69+SUM('New Year-Full Year'!V70:V76)</f>
        <v>#REF!</v>
      </c>
      <c r="K73" s="35" t="e">
        <f>'New Year-Full Year'!#REF!+'New Year-Full Year'!#REF!++'New Year-Full Year'!W$69+SUM('New Year-Full Year'!W70:W76)</f>
        <v>#REF!</v>
      </c>
      <c r="L73" s="3" t="e">
        <f>IF(K73=0,"NA",(+J73-K73)/K73)</f>
        <v>#REF!</v>
      </c>
      <c r="M73" s="254"/>
    </row>
    <row r="74" spans="1:13" s="2" customFormat="1" x14ac:dyDescent="0.35">
      <c r="A74" s="40">
        <v>86</v>
      </c>
      <c r="B74" s="22" t="s">
        <v>298</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Year'!B110</f>
        <v>Facilities</v>
      </c>
      <c r="H75" s="36"/>
    </row>
    <row r="76" spans="1:13" ht="19.5" customHeight="1" x14ac:dyDescent="0.35">
      <c r="A76" s="40">
        <v>131</v>
      </c>
      <c r="B76" s="763" t="str">
        <f>+'New Year-Full Year'!B111</f>
        <v>Utilities</v>
      </c>
      <c r="H76" s="36"/>
    </row>
    <row r="77" spans="1:13" x14ac:dyDescent="0.35">
      <c r="A77" s="40">
        <v>132</v>
      </c>
      <c r="C77" s="1" t="str">
        <f>+'New Year-Full Year'!C112</f>
        <v>Electric</v>
      </c>
      <c r="E77" s="35">
        <f>+'New Year-Full Year'!Q112</f>
        <v>13000</v>
      </c>
      <c r="F77" s="35">
        <f>+'New Year-Full Year'!R112</f>
        <v>13000</v>
      </c>
      <c r="G77" s="35">
        <f t="shared" ref="G77:G82" si="18">+E77-F77</f>
        <v>0</v>
      </c>
      <c r="H77" s="3">
        <f t="shared" ref="H77:H83" si="19">IF(F77=0,"NA",(+E77-F77)/F77)</f>
        <v>0</v>
      </c>
      <c r="J77" s="35">
        <f>+'New Year-Full Year'!V112</f>
        <v>8446.64</v>
      </c>
      <c r="K77" s="35">
        <f>+'New Year-Full Year'!W112</f>
        <v>8666.64</v>
      </c>
      <c r="L77" s="3">
        <f t="shared" ref="L77:L83" si="20">IF(K77=0,"NA",(+J77-K77)/K77)</f>
        <v>-2.5384693491364591E-2</v>
      </c>
    </row>
    <row r="78" spans="1:13" x14ac:dyDescent="0.35">
      <c r="A78" s="40">
        <v>133</v>
      </c>
      <c r="C78" s="1" t="str">
        <f>+'New Year-Full Year'!C113</f>
        <v>Gas</v>
      </c>
      <c r="E78" s="35">
        <f>+'New Year-Full Year'!Q113</f>
        <v>8000</v>
      </c>
      <c r="F78" s="35">
        <f>+'New Year-Full Year'!R113</f>
        <v>9000</v>
      </c>
      <c r="G78" s="35">
        <f t="shared" si="18"/>
        <v>-1000</v>
      </c>
      <c r="H78" s="3">
        <f t="shared" si="19"/>
        <v>-0.1111111111111111</v>
      </c>
      <c r="J78" s="35">
        <f>+'New Year-Full Year'!V113</f>
        <v>4418.97</v>
      </c>
      <c r="K78" s="35">
        <f>+'New Year-Full Year'!W113</f>
        <v>6000</v>
      </c>
      <c r="L78" s="3">
        <f t="shared" si="20"/>
        <v>-0.26350499999999993</v>
      </c>
    </row>
    <row r="79" spans="1:13" x14ac:dyDescent="0.35">
      <c r="A79" s="40">
        <v>134</v>
      </c>
      <c r="C79" s="1" t="str">
        <f>+'New Year-Full Year'!C114</f>
        <v>Kitchen Lead Supplies</v>
      </c>
      <c r="E79" s="35">
        <f>+'New Year-Full Year'!Q114</f>
        <v>500</v>
      </c>
      <c r="F79" s="35">
        <f>+'New Year-Full Year'!R114</f>
        <v>0</v>
      </c>
      <c r="G79" s="35">
        <f t="shared" si="18"/>
        <v>500</v>
      </c>
      <c r="H79" s="3" t="str">
        <f t="shared" si="19"/>
        <v>NA</v>
      </c>
      <c r="J79" s="35">
        <f>+'New Year-Full Year'!V114</f>
        <v>0</v>
      </c>
      <c r="K79" s="35">
        <f>+'New Year-Full Year'!W114</f>
        <v>0</v>
      </c>
      <c r="L79" s="3" t="str">
        <f t="shared" si="20"/>
        <v>NA</v>
      </c>
    </row>
    <row r="80" spans="1:13" x14ac:dyDescent="0.35">
      <c r="A80" s="40">
        <v>135</v>
      </c>
      <c r="C80" s="1" t="str">
        <f>+'New Year-Full Year'!C115</f>
        <v>Water</v>
      </c>
      <c r="E80" s="35">
        <f>+'New Year-Full Year'!Q115</f>
        <v>1900</v>
      </c>
      <c r="F80" s="35">
        <f>+'New Year-Full Year'!R115</f>
        <v>1900</v>
      </c>
      <c r="G80" s="35">
        <f t="shared" si="18"/>
        <v>0</v>
      </c>
      <c r="H80" s="3">
        <f t="shared" si="19"/>
        <v>0</v>
      </c>
      <c r="J80" s="35">
        <f>+'New Year-Full Year'!V115</f>
        <v>698.74</v>
      </c>
      <c r="K80" s="35">
        <f>+'New Year-Full Year'!W115</f>
        <v>1425</v>
      </c>
      <c r="L80" s="3">
        <f t="shared" si="20"/>
        <v>-0.50965614035087714</v>
      </c>
    </row>
    <row r="81" spans="1:12" x14ac:dyDescent="0.35">
      <c r="A81" s="40">
        <v>136</v>
      </c>
      <c r="C81" s="1" t="str">
        <f>+'New Year-Full Year'!C116</f>
        <v>Security</v>
      </c>
      <c r="E81" s="35">
        <f>+'New Year-Full Year'!Q116</f>
        <v>400</v>
      </c>
      <c r="F81" s="35">
        <f>+'New Year-Full Year'!R116</f>
        <v>400</v>
      </c>
      <c r="G81" s="35">
        <f t="shared" si="18"/>
        <v>0</v>
      </c>
      <c r="H81" s="3">
        <f t="shared" si="19"/>
        <v>0</v>
      </c>
      <c r="J81" s="35">
        <f>+'New Year-Full Year'!V116</f>
        <v>263.39999999999998</v>
      </c>
      <c r="K81" s="35">
        <f>+'New Year-Full Year'!W116</f>
        <v>400</v>
      </c>
      <c r="L81" s="3">
        <f t="shared" si="20"/>
        <v>-0.34150000000000008</v>
      </c>
    </row>
    <row r="82" spans="1:12" x14ac:dyDescent="0.35">
      <c r="A82" s="40">
        <v>138</v>
      </c>
      <c r="C82" s="1" t="str">
        <f>+'New Year-Full Year'!C117</f>
        <v>City Assessment</v>
      </c>
      <c r="E82" s="35">
        <f>+'New Year-Full Year'!Q117</f>
        <v>9000</v>
      </c>
      <c r="F82" s="35">
        <f>+'New Year-Full Year'!R117</f>
        <v>8000</v>
      </c>
      <c r="G82" s="35">
        <f t="shared" si="18"/>
        <v>1000</v>
      </c>
      <c r="H82" s="3">
        <f t="shared" si="19"/>
        <v>0.125</v>
      </c>
      <c r="J82" s="35">
        <f>+'New Year-Full Year'!V117</f>
        <v>6718.04</v>
      </c>
      <c r="K82" s="35">
        <f>+'New Year-Full Year'!W117</f>
        <v>6000</v>
      </c>
      <c r="L82" s="3">
        <f t="shared" si="20"/>
        <v>0.11967333333333333</v>
      </c>
    </row>
    <row r="83" spans="1:12" s="2" customFormat="1" x14ac:dyDescent="0.35">
      <c r="A83" s="40">
        <v>139</v>
      </c>
      <c r="B83" s="25" t="str">
        <f>+'New Year-Full Year'!B118</f>
        <v>Total Utilities</v>
      </c>
      <c r="C83" s="25"/>
      <c r="D83" s="25"/>
      <c r="E83" s="25">
        <f>SUM(E77:E82)</f>
        <v>32800</v>
      </c>
      <c r="F83" s="25">
        <f>SUM(F77:F82)</f>
        <v>32300</v>
      </c>
      <c r="G83" s="25">
        <f>SUM(G77:G82)</f>
        <v>500</v>
      </c>
      <c r="H83" s="26">
        <f t="shared" si="19"/>
        <v>1.5479876160990712E-2</v>
      </c>
      <c r="J83" s="25">
        <f>SUM(J77:J82)</f>
        <v>20545.79</v>
      </c>
      <c r="K83" s="25">
        <f>SUM(K77:K82)</f>
        <v>22491.64</v>
      </c>
      <c r="L83" s="26">
        <f t="shared" si="20"/>
        <v>-8.6514367115959473E-2</v>
      </c>
    </row>
    <row r="84" spans="1:12" ht="19.5" customHeight="1" x14ac:dyDescent="0.35">
      <c r="A84" s="40">
        <v>141</v>
      </c>
      <c r="B84" s="763" t="str">
        <f>+'New Year-Full Year'!B119</f>
        <v>Church Maintenance</v>
      </c>
      <c r="H84" s="36"/>
    </row>
    <row r="85" spans="1:12" x14ac:dyDescent="0.35">
      <c r="A85" s="40">
        <v>142</v>
      </c>
      <c r="C85" s="1" t="str">
        <f>+'New Year-Full Year'!C120</f>
        <v>Insurance</v>
      </c>
      <c r="E85" s="35">
        <f>+'New Year-Full Year'!Q120</f>
        <v>17000</v>
      </c>
      <c r="F85" s="35">
        <f>+'New Year-Full Year'!R120</f>
        <v>15000</v>
      </c>
      <c r="G85" s="35">
        <f>+E85-F85</f>
        <v>2000</v>
      </c>
      <c r="H85" s="3">
        <f t="shared" ref="H85:H92" si="21">IF(F85=0,"NA",(+E85-F85)/F85)</f>
        <v>0.13333333333333333</v>
      </c>
      <c r="J85" s="35">
        <f>+'New Year-Full Year'!V120</f>
        <v>8905</v>
      </c>
      <c r="K85" s="35">
        <f>+'New Year-Full Year'!W120</f>
        <v>7500</v>
      </c>
      <c r="L85" s="3">
        <f t="shared" ref="L85:L92" si="22">IF(K85=0,"NA",(+J85-K85)/K85)</f>
        <v>0.18733333333333332</v>
      </c>
    </row>
    <row r="86" spans="1:12" x14ac:dyDescent="0.35">
      <c r="A86" s="40">
        <v>143</v>
      </c>
      <c r="C86" s="1" t="str">
        <f>+'New Year-Full Year'!C121</f>
        <v>Snow Removal</v>
      </c>
      <c r="E86" s="35">
        <f>+'New Year-Full Year'!Q121</f>
        <v>6000</v>
      </c>
      <c r="F86" s="35">
        <f>+'New Year-Full Year'!R121</f>
        <v>6000</v>
      </c>
      <c r="G86" s="35">
        <f>+E86-F86</f>
        <v>0</v>
      </c>
      <c r="H86" s="3">
        <f t="shared" si="21"/>
        <v>0</v>
      </c>
      <c r="J86" s="35">
        <f>+'New Year-Full Year'!V121</f>
        <v>2528</v>
      </c>
      <c r="K86" s="35">
        <f>+'New Year-Full Year'!W121</f>
        <v>4800</v>
      </c>
      <c r="L86" s="3">
        <f t="shared" si="22"/>
        <v>-0.47333333333333333</v>
      </c>
    </row>
    <row r="87" spans="1:12" x14ac:dyDescent="0.35">
      <c r="A87" s="40">
        <v>144</v>
      </c>
      <c r="C87" s="1" t="str">
        <f>+'New Year-Full Year'!C122</f>
        <v>Maint.  Supplies</v>
      </c>
      <c r="E87" s="35">
        <f>+'New Year-Full Year'!Q122</f>
        <v>4500</v>
      </c>
      <c r="F87" s="35">
        <f>+'New Year-Full Year'!R122</f>
        <v>4500</v>
      </c>
      <c r="G87" s="35">
        <f>+E87-F87</f>
        <v>0</v>
      </c>
      <c r="H87" s="3">
        <f t="shared" si="21"/>
        <v>0</v>
      </c>
      <c r="J87" s="35">
        <f>+'New Year-Full Year'!V122</f>
        <v>1904.87</v>
      </c>
      <c r="K87" s="35">
        <f>+'New Year-Full Year'!W122</f>
        <v>3000</v>
      </c>
      <c r="L87" s="3">
        <f t="shared" si="22"/>
        <v>-0.36504333333333339</v>
      </c>
    </row>
    <row r="88" spans="1:12" ht="15" customHeight="1" x14ac:dyDescent="0.35">
      <c r="A88" s="40">
        <v>145</v>
      </c>
      <c r="C88" s="1" t="str">
        <f>+'New Year-Full Year'!C123</f>
        <v>Maintenance Contracts</v>
      </c>
      <c r="D88" s="52"/>
      <c r="E88" s="35">
        <f>+'New Year-Full Year'!Q123</f>
        <v>6200</v>
      </c>
      <c r="F88" s="35">
        <f>+'New Year-Full Year'!R123</f>
        <v>6200</v>
      </c>
      <c r="G88" s="35">
        <f>+E88-F88</f>
        <v>0</v>
      </c>
      <c r="H88" s="3">
        <f t="shared" si="21"/>
        <v>0</v>
      </c>
      <c r="J88" s="35">
        <f>+'New Year-Full Year'!V123</f>
        <v>4503.1000000000004</v>
      </c>
      <c r="K88" s="35">
        <f>+'New Year-Full Year'!W123</f>
        <v>4133.3599999999997</v>
      </c>
      <c r="L88" s="3">
        <f t="shared" si="22"/>
        <v>8.9452648692589259E-2</v>
      </c>
    </row>
    <row r="89" spans="1:12" x14ac:dyDescent="0.35">
      <c r="A89" s="40">
        <v>146</v>
      </c>
      <c r="C89" s="1" t="str">
        <f>+'New Year-Full Year'!C124</f>
        <v>Building Repairs</v>
      </c>
      <c r="E89" s="35">
        <f>+'New Year-Full Year'!Q124</f>
        <v>10000</v>
      </c>
      <c r="F89" s="35">
        <f>+'New Year-Full Year'!R124</f>
        <v>10000</v>
      </c>
      <c r="G89" s="35">
        <f>+E89-F89</f>
        <v>0</v>
      </c>
      <c r="H89" s="3">
        <f t="shared" si="21"/>
        <v>0</v>
      </c>
      <c r="J89" s="35">
        <f>+'New Year-Full Year'!V124</f>
        <v>6357.91</v>
      </c>
      <c r="K89" s="35">
        <f>+'New Year-Full Year'!W124</f>
        <v>6666.64</v>
      </c>
      <c r="L89" s="3">
        <f t="shared" si="22"/>
        <v>-4.6309685238741023E-2</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Year'!B125</f>
        <v>Total Church Maintenance</v>
      </c>
      <c r="C91" s="25"/>
      <c r="D91" s="25"/>
      <c r="E91" s="25" t="e">
        <f>SUM(E85:E90)</f>
        <v>#REF!</v>
      </c>
      <c r="F91" s="25" t="e">
        <f>SUM(F85:F90)</f>
        <v>#REF!</v>
      </c>
      <c r="G91" s="25">
        <f>SUM(G85:G90)</f>
        <v>2000</v>
      </c>
      <c r="H91" s="26" t="e">
        <f t="shared" si="21"/>
        <v>#REF!</v>
      </c>
      <c r="J91" s="25" t="e">
        <f>SUM(J85:J90)</f>
        <v>#REF!</v>
      </c>
      <c r="K91" s="25" t="e">
        <f>SUM(K85:K90)</f>
        <v>#REF!</v>
      </c>
      <c r="L91" s="26" t="e">
        <f t="shared" si="22"/>
        <v>#REF!</v>
      </c>
    </row>
    <row r="92" spans="1:12" x14ac:dyDescent="0.35">
      <c r="A92" s="40">
        <v>151</v>
      </c>
      <c r="B92" s="25" t="str">
        <f>+'New Year-Full Year'!B126</f>
        <v>TOTAL FACILITIES</v>
      </c>
      <c r="C92" s="25"/>
      <c r="D92" s="25"/>
      <c r="E92" s="25" t="e">
        <f>+E83+E91</f>
        <v>#REF!</v>
      </c>
      <c r="F92" s="25" t="e">
        <f>+F83+F91</f>
        <v>#REF!</v>
      </c>
      <c r="G92" s="25">
        <f>+G83+G91</f>
        <v>2500</v>
      </c>
      <c r="H92" s="26" t="e">
        <f t="shared" si="21"/>
        <v>#REF!</v>
      </c>
      <c r="J92" s="25" t="e">
        <f>+J83+J91</f>
        <v>#REF!</v>
      </c>
      <c r="K92" s="25" t="e">
        <f>+K83+K91</f>
        <v>#REF!</v>
      </c>
      <c r="L92" s="26" t="e">
        <f t="shared" si="22"/>
        <v>#REF!</v>
      </c>
    </row>
    <row r="93" spans="1:12" ht="23" customHeight="1" x14ac:dyDescent="0.35">
      <c r="A93" s="40">
        <v>154</v>
      </c>
      <c r="B93" s="690" t="str">
        <f>+'New Year-Full Year'!B127</f>
        <v>Restricted Funds</v>
      </c>
      <c r="H93" s="36"/>
    </row>
    <row r="94" spans="1:12" ht="14.5" customHeight="1" x14ac:dyDescent="0.35">
      <c r="B94" s="690"/>
      <c r="C94" s="1" t="str">
        <f>'New Year-Full Year'!C128</f>
        <v>Misc. Expense</v>
      </c>
      <c r="E94" s="35">
        <f>SUM('New Year-Full Year'!Q128:Q128)</f>
        <v>0</v>
      </c>
      <c r="F94" s="35">
        <f>SUM('New Year-Full Year'!R128:R128)</f>
        <v>0</v>
      </c>
      <c r="G94" s="35">
        <f t="shared" ref="G94:G99" si="23">+E94-F94</f>
        <v>0</v>
      </c>
      <c r="H94" s="3" t="str">
        <f>IF(F94=0,"NA",(+E94-F94)/F94)</f>
        <v>NA</v>
      </c>
      <c r="J94" s="35">
        <f>SUM('New Year-Full Year'!V128:V128)</f>
        <v>0</v>
      </c>
      <c r="K94" s="35">
        <f>SUM('New Year-Full Year'!W128:W128)</f>
        <v>0</v>
      </c>
      <c r="L94" s="3" t="str">
        <f>IF(K94=0,"NA",(+J94-K94)/K94)</f>
        <v>NA</v>
      </c>
    </row>
    <row r="95" spans="1:12" x14ac:dyDescent="0.35">
      <c r="A95" s="40">
        <v>155</v>
      </c>
      <c r="C95" s="1" t="str">
        <f>'New Year-Full Year'!C129</f>
        <v>Operating Fund Reserve</v>
      </c>
      <c r="E95" s="35">
        <f>SUM('New Year-Full Year'!Q129:Q129)</f>
        <v>0</v>
      </c>
      <c r="F95" s="35">
        <f>SUM('New Year-Full Year'!R129:R129)</f>
        <v>0</v>
      </c>
      <c r="G95" s="35">
        <f t="shared" si="23"/>
        <v>0</v>
      </c>
      <c r="H95" s="3" t="str">
        <f t="shared" ref="H95:H101" si="24">IF(F95=0,"NA",(+E95-F95)/F95)</f>
        <v>NA</v>
      </c>
      <c r="J95" s="35">
        <f>SUM('New Year-Full Year'!V129:V129)</f>
        <v>0</v>
      </c>
      <c r="K95" s="35">
        <f>SUM('New Year-Full Year'!W129:W129)</f>
        <v>0</v>
      </c>
      <c r="L95" s="3" t="str">
        <f t="shared" ref="L95:L101" si="25">IF(K95=0,"NA",(+J95-K95)/K95)</f>
        <v>NA</v>
      </c>
    </row>
    <row r="96" spans="1:12" hidden="1" x14ac:dyDescent="0.35">
      <c r="C96" s="1" t="str">
        <f>'New Year-Full Year'!C130</f>
        <v>Pastor Transition</v>
      </c>
      <c r="E96" s="35">
        <f>SUM('New Year-Full Year'!Q130:Q130)</f>
        <v>0</v>
      </c>
      <c r="F96" s="35">
        <f>SUM('New Year-Full Year'!R130:R130)</f>
        <v>0</v>
      </c>
      <c r="G96" s="35">
        <f t="shared" si="23"/>
        <v>0</v>
      </c>
      <c r="H96" s="3" t="str">
        <f>IF(F96=0,"NA",(+E96-F96)/F96)</f>
        <v>NA</v>
      </c>
      <c r="J96" s="35">
        <f>SUM('New Year-Full Year'!V130:V130)</f>
        <v>0</v>
      </c>
      <c r="K96" s="35">
        <f>SUM('New Year-Full Year'!W130:W130)</f>
        <v>0</v>
      </c>
      <c r="L96" s="3" t="str">
        <f>IF(K96=0,"NA",(+J96-K96)/K96)</f>
        <v>NA</v>
      </c>
    </row>
    <row r="97" spans="1:12" ht="14.5" customHeight="1" x14ac:dyDescent="0.35">
      <c r="A97" s="40">
        <v>156</v>
      </c>
      <c r="C97" s="1" t="str">
        <f>'New Year-Full Year'!C131</f>
        <v>Facilities Fund Reserve</v>
      </c>
      <c r="E97" s="35">
        <f>+'New Year-Full Year'!Q131</f>
        <v>0</v>
      </c>
      <c r="F97" s="35">
        <f>+'New Year-Full Year'!R131</f>
        <v>0</v>
      </c>
      <c r="G97" s="35">
        <f t="shared" si="23"/>
        <v>0</v>
      </c>
      <c r="H97" s="3" t="str">
        <f t="shared" si="24"/>
        <v>NA</v>
      </c>
      <c r="J97" s="35">
        <f>+'New Year-Full Year'!V131</f>
        <v>0</v>
      </c>
      <c r="K97" s="35">
        <f>+'New Year-Full Year'!W131</f>
        <v>0</v>
      </c>
      <c r="L97" s="3" t="str">
        <f t="shared" si="25"/>
        <v>NA</v>
      </c>
    </row>
    <row r="98" spans="1:12" ht="14.5" hidden="1" customHeight="1" x14ac:dyDescent="0.35">
      <c r="A98" s="40">
        <v>157</v>
      </c>
      <c r="C98" s="1" t="str">
        <f>'New Year-Full Year'!C132</f>
        <v>Facilities Maintenance</v>
      </c>
      <c r="E98" s="35">
        <f>+'New Year-Full Year'!Q132</f>
        <v>0</v>
      </c>
      <c r="F98" s="35">
        <f>+'New Year-Full Year'!R132</f>
        <v>0</v>
      </c>
      <c r="G98" s="35">
        <f t="shared" si="23"/>
        <v>0</v>
      </c>
      <c r="H98" s="3" t="str">
        <f t="shared" si="24"/>
        <v>NA</v>
      </c>
      <c r="J98" s="35">
        <f>+'New Year-Full Year'!V132</f>
        <v>0</v>
      </c>
      <c r="K98" s="35">
        <f>+'New Year-Full Year'!W132</f>
        <v>0</v>
      </c>
      <c r="L98" s="689" t="s">
        <v>367</v>
      </c>
    </row>
    <row r="99" spans="1:12" x14ac:dyDescent="0.35">
      <c r="C99" s="1" t="s">
        <v>132</v>
      </c>
      <c r="E99" s="35">
        <f>+'New Year-Full Year'!Q133</f>
        <v>0</v>
      </c>
      <c r="F99" s="35">
        <f>+'New Year-Full Year'!R133</f>
        <v>0</v>
      </c>
      <c r="G99" s="35">
        <f t="shared" si="23"/>
        <v>0</v>
      </c>
      <c r="H99" s="3" t="str">
        <f t="shared" si="24"/>
        <v>NA</v>
      </c>
      <c r="J99" s="35">
        <f>+'New Year-Full Year'!V133</f>
        <v>0</v>
      </c>
      <c r="K99" s="35">
        <f>+'New Year-Full Year'!W133</f>
        <v>0</v>
      </c>
      <c r="L99" s="3" t="str">
        <f t="shared" si="25"/>
        <v>NA</v>
      </c>
    </row>
    <row r="100" spans="1:12" hidden="1" x14ac:dyDescent="0.35">
      <c r="A100" s="40">
        <v>158</v>
      </c>
      <c r="C100" s="1" t="str">
        <f>'New Year-Full Year'!C134</f>
        <v>Line of Credit Payment</v>
      </c>
      <c r="E100" s="35">
        <f>+'New Year-Full Year'!Q134</f>
        <v>0</v>
      </c>
      <c r="F100" s="35">
        <f>+'New Year-Full Year'!R134</f>
        <v>0</v>
      </c>
      <c r="G100" s="35"/>
      <c r="H100" s="3" t="str">
        <f t="shared" si="24"/>
        <v>NA</v>
      </c>
      <c r="J100" s="35">
        <f>+'New Year-Full Year'!V134</f>
        <v>0</v>
      </c>
      <c r="K100" s="35">
        <f>+'New Year-Full Year'!W134</f>
        <v>0</v>
      </c>
      <c r="L100" s="3" t="str">
        <f t="shared" si="25"/>
        <v>NA</v>
      </c>
    </row>
    <row r="101" spans="1:12" s="2" customFormat="1" x14ac:dyDescent="0.35">
      <c r="A101" s="40">
        <v>159</v>
      </c>
      <c r="B101" s="27" t="str">
        <f>+'New Year-Full Year'!B135</f>
        <v>Total Restricted Funds</v>
      </c>
      <c r="C101" s="27"/>
      <c r="D101" s="27"/>
      <c r="E101" s="27">
        <f>SUM(E94:E100)</f>
        <v>0</v>
      </c>
      <c r="F101" s="27">
        <f>SUM(F94:F100)</f>
        <v>0</v>
      </c>
      <c r="G101" s="27">
        <f>SUM(G94:G100)</f>
        <v>0</v>
      </c>
      <c r="H101" s="28" t="str">
        <f t="shared" si="24"/>
        <v>NA</v>
      </c>
      <c r="J101" s="27">
        <f>SUM(J94:J100)</f>
        <v>0</v>
      </c>
      <c r="K101" s="27">
        <f>SUM(K94:K100)</f>
        <v>0</v>
      </c>
      <c r="L101" s="28" t="str">
        <f t="shared" si="25"/>
        <v>NA</v>
      </c>
    </row>
    <row r="102" spans="1:12" ht="7.5" customHeight="1" x14ac:dyDescent="0.35">
      <c r="A102" s="40">
        <v>160</v>
      </c>
      <c r="H102" s="36"/>
    </row>
    <row r="103" spans="1:12" x14ac:dyDescent="0.35">
      <c r="A103" s="40">
        <v>161</v>
      </c>
      <c r="B103" s="29" t="str">
        <f>+'New Year-Full Year'!B137</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Year'!B138</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Year'!B140</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Year'!B141</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Year'!B142</f>
        <v>Net Operating Income/(Loss)</v>
      </c>
      <c r="C108" s="84"/>
      <c r="D108" s="84"/>
      <c r="E108" s="92" t="e">
        <f>+E106-E107</f>
        <v>#REF!</v>
      </c>
      <c r="F108" s="92" t="e">
        <f>+F106-F107</f>
        <v>#REF!</v>
      </c>
      <c r="G108" s="92" t="e">
        <f>+G106-G107</f>
        <v>#REF!</v>
      </c>
      <c r="H108" s="688" t="s">
        <v>367</v>
      </c>
      <c r="I108" s="86"/>
      <c r="J108" s="92" t="e">
        <f>+J106-J107</f>
        <v>#REF!</v>
      </c>
      <c r="K108" s="92" t="e">
        <f>+K106-K107</f>
        <v>#REF!</v>
      </c>
      <c r="L108" s="687" t="s">
        <v>367</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554" t="s">
        <v>519</v>
      </c>
      <c r="B1" s="1554"/>
    </row>
    <row r="2" spans="1:5" x14ac:dyDescent="0.35">
      <c r="B2" s="967"/>
    </row>
    <row r="3" spans="1:5" ht="43.5" customHeight="1" x14ac:dyDescent="0.35">
      <c r="A3" s="752"/>
      <c r="B3" s="973" t="s">
        <v>278</v>
      </c>
    </row>
    <row r="4" spans="1:5" ht="14.5" customHeight="1" x14ac:dyDescent="0.35">
      <c r="A4" s="966" t="s">
        <v>141</v>
      </c>
      <c r="B4" s="971">
        <v>71175</v>
      </c>
      <c r="D4" s="109" t="s">
        <v>531</v>
      </c>
    </row>
    <row r="5" spans="1:5" hidden="1" x14ac:dyDescent="0.35">
      <c r="A5" s="146" t="s">
        <v>417</v>
      </c>
      <c r="B5" s="693">
        <v>7.6499999999999999E-2</v>
      </c>
    </row>
    <row r="6" spans="1:5" x14ac:dyDescent="0.35">
      <c r="A6" s="146" t="s">
        <v>229</v>
      </c>
      <c r="B6" s="106">
        <f>ROUND(+B4*B5,0)</f>
        <v>5445</v>
      </c>
    </row>
    <row r="7" spans="1:5" x14ac:dyDescent="0.35">
      <c r="A7" s="968" t="s">
        <v>143</v>
      </c>
      <c r="B7" s="972">
        <f>+B4+B6</f>
        <v>76620</v>
      </c>
    </row>
    <row r="8" spans="1:5" x14ac:dyDescent="0.35">
      <c r="A8" s="146" t="s">
        <v>231</v>
      </c>
      <c r="B8" s="125">
        <f>800*12</f>
        <v>9600</v>
      </c>
    </row>
    <row r="9" spans="1:5" x14ac:dyDescent="0.35">
      <c r="A9" s="969" t="s">
        <v>126</v>
      </c>
      <c r="B9" s="125">
        <f>+E14</f>
        <v>7662</v>
      </c>
      <c r="D9" s="174" t="s">
        <v>402</v>
      </c>
      <c r="E9" s="550">
        <v>0.1</v>
      </c>
    </row>
    <row r="10" spans="1:5" x14ac:dyDescent="0.35">
      <c r="A10" s="969" t="s">
        <v>520</v>
      </c>
      <c r="B10" s="125">
        <f>+E25</f>
        <v>1686</v>
      </c>
      <c r="D10" s="153" t="s">
        <v>150</v>
      </c>
      <c r="E10" s="112">
        <f>+B7</f>
        <v>76620</v>
      </c>
    </row>
    <row r="11" spans="1:5" x14ac:dyDescent="0.35">
      <c r="A11" s="969" t="s">
        <v>521</v>
      </c>
      <c r="B11" s="128">
        <v>1500</v>
      </c>
      <c r="D11" s="153" t="s">
        <v>126</v>
      </c>
      <c r="E11" s="112">
        <f>ROUND(+E10*E9,0)</f>
        <v>7662</v>
      </c>
    </row>
    <row r="12" spans="1:5" x14ac:dyDescent="0.35">
      <c r="A12" s="969" t="s">
        <v>522</v>
      </c>
      <c r="B12" s="128">
        <v>1300</v>
      </c>
      <c r="D12" s="153" t="s">
        <v>152</v>
      </c>
      <c r="E12" s="552">
        <f>+E11/E10</f>
        <v>0.1</v>
      </c>
    </row>
    <row r="13" spans="1:5" x14ac:dyDescent="0.35">
      <c r="A13" s="969" t="s">
        <v>523</v>
      </c>
      <c r="B13" s="128">
        <v>600</v>
      </c>
      <c r="D13" s="153" t="s">
        <v>238</v>
      </c>
      <c r="E13" s="553">
        <v>0.1</v>
      </c>
    </row>
    <row r="14" spans="1:5" x14ac:dyDescent="0.35">
      <c r="A14" s="970" t="s">
        <v>524</v>
      </c>
      <c r="B14" s="131">
        <f>SUM(B7:B13)</f>
        <v>98968</v>
      </c>
      <c r="D14" s="168" t="s">
        <v>149</v>
      </c>
      <c r="E14" s="119">
        <f>ROUND(+B7*E13,0)</f>
        <v>7662</v>
      </c>
    </row>
    <row r="15" spans="1:5" x14ac:dyDescent="0.35">
      <c r="A15" s="173"/>
      <c r="B15" s="173"/>
    </row>
    <row r="16" spans="1:5" ht="14.5" customHeight="1" x14ac:dyDescent="0.35">
      <c r="A16" s="752" t="s">
        <v>525</v>
      </c>
      <c r="B16" s="709"/>
      <c r="D16" s="174" t="s">
        <v>151</v>
      </c>
      <c r="E16" s="111"/>
    </row>
    <row r="17" spans="1:5" ht="29" customHeight="1" x14ac:dyDescent="0.35">
      <c r="A17" s="1593" t="s">
        <v>527</v>
      </c>
      <c r="B17" s="1593"/>
      <c r="D17" s="153" t="s">
        <v>403</v>
      </c>
      <c r="E17" s="361">
        <v>1.4999999999999999E-2</v>
      </c>
    </row>
    <row r="18" spans="1:5" x14ac:dyDescent="0.35">
      <c r="A18" s="709" t="s">
        <v>526</v>
      </c>
      <c r="D18" s="153" t="s">
        <v>404</v>
      </c>
      <c r="E18" s="361">
        <v>7.0000000000000001E-3</v>
      </c>
    </row>
    <row r="19" spans="1:5" hidden="1" x14ac:dyDescent="0.35">
      <c r="D19" s="153" t="s">
        <v>128</v>
      </c>
      <c r="E19" s="361">
        <v>0</v>
      </c>
    </row>
    <row r="20" spans="1:5" x14ac:dyDescent="0.35">
      <c r="A20" s="109" t="s">
        <v>528</v>
      </c>
      <c r="D20" s="153" t="s">
        <v>405</v>
      </c>
      <c r="E20" s="362">
        <f>+E17+E18+E19</f>
        <v>2.1999999999999999E-2</v>
      </c>
    </row>
    <row r="21" spans="1:5" ht="14.5" customHeight="1" x14ac:dyDescent="0.35">
      <c r="A21" s="1592" t="s">
        <v>529</v>
      </c>
      <c r="B21" s="1592"/>
      <c r="D21" s="153" t="s">
        <v>150</v>
      </c>
      <c r="E21" s="112">
        <f>+B7</f>
        <v>76620</v>
      </c>
    </row>
    <row r="22" spans="1:5" ht="43.5" hidden="1" customHeight="1" x14ac:dyDescent="0.35">
      <c r="A22" s="1592"/>
      <c r="B22" s="1592"/>
      <c r="D22" s="189" t="s">
        <v>156</v>
      </c>
      <c r="E22" s="192">
        <v>0</v>
      </c>
    </row>
    <row r="23" spans="1:5" ht="29" hidden="1" customHeight="1" x14ac:dyDescent="0.35">
      <c r="A23" s="1592"/>
      <c r="B23" s="1592"/>
      <c r="D23" s="189" t="s">
        <v>155</v>
      </c>
      <c r="E23" s="112"/>
    </row>
    <row r="24" spans="1:5" ht="14.5" hidden="1" customHeight="1" x14ac:dyDescent="0.35">
      <c r="A24" s="1592"/>
      <c r="B24" s="1592"/>
      <c r="D24" s="123" t="s">
        <v>154</v>
      </c>
      <c r="E24" s="112">
        <f>SUM(E21:E23)</f>
        <v>76620</v>
      </c>
    </row>
    <row r="25" spans="1:5" x14ac:dyDescent="0.35">
      <c r="A25" s="1592"/>
      <c r="B25" s="1592"/>
      <c r="D25" s="129" t="s">
        <v>153</v>
      </c>
      <c r="E25" s="119">
        <f>ROUND(+E24*E20,0)</f>
        <v>1686</v>
      </c>
    </row>
    <row r="26" spans="1:5" x14ac:dyDescent="0.35">
      <c r="A26" s="1592"/>
      <c r="B26" s="1592"/>
    </row>
    <row r="27" spans="1:5" x14ac:dyDescent="0.35">
      <c r="A27" s="109" t="s">
        <v>530</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554" t="s">
        <v>265</v>
      </c>
      <c r="B1" s="1554"/>
      <c r="C1" s="1554"/>
      <c r="D1" s="1554"/>
      <c r="E1" s="1554"/>
      <c r="F1" s="1554"/>
      <c r="G1" s="1554"/>
      <c r="H1" s="1554"/>
      <c r="I1" s="1554"/>
      <c r="J1" s="1554"/>
      <c r="K1" s="1554"/>
      <c r="L1" s="1554"/>
      <c r="M1" s="1554"/>
      <c r="N1" s="1554"/>
      <c r="O1" s="1554"/>
      <c r="P1" s="1554"/>
      <c r="Q1" s="1554"/>
      <c r="R1" s="116"/>
      <c r="S1" s="779">
        <v>7.0000000000000007E-2</v>
      </c>
      <c r="V1" s="779">
        <v>0.08</v>
      </c>
      <c r="Y1" s="779">
        <v>0.09</v>
      </c>
      <c r="AB1" s="779">
        <v>0.1</v>
      </c>
    </row>
    <row r="2" spans="1:30" s="710" customFormat="1" ht="10" customHeight="1" thickBot="1" x14ac:dyDescent="0.4">
      <c r="B2" s="711"/>
      <c r="C2" s="712"/>
      <c r="D2" s="712"/>
      <c r="E2" s="713"/>
      <c r="I2" s="712"/>
      <c r="J2" s="712"/>
      <c r="K2" s="712"/>
      <c r="L2" s="712"/>
      <c r="M2" s="712"/>
      <c r="N2" s="712"/>
      <c r="R2" s="778"/>
      <c r="S2" s="1625" t="str">
        <f>"2023 Estimate at "&amp;S1*100&amp;"%"</f>
        <v>2023 Estimate at 7%</v>
      </c>
      <c r="T2" s="1626"/>
      <c r="U2" s="1627"/>
      <c r="V2" s="1625" t="str">
        <f>"2023 Estimate at "&amp;V1*100&amp;"%"</f>
        <v>2023 Estimate at 8%</v>
      </c>
      <c r="W2" s="1626"/>
      <c r="X2" s="1627"/>
      <c r="Y2" s="1625" t="str">
        <f>"2023 Estimate at "&amp;Y1*100&amp;"%"</f>
        <v>2023 Estimate at 9%</v>
      </c>
      <c r="Z2" s="1626"/>
      <c r="AA2" s="1627"/>
      <c r="AB2" s="1625" t="str">
        <f>"2023 Estimate at "&amp;AB1*100&amp;"%"</f>
        <v>2023 Estimate at 10%</v>
      </c>
      <c r="AC2" s="1626"/>
      <c r="AD2" s="1627"/>
    </row>
    <row r="3" spans="1:30" ht="37.5" customHeight="1" x14ac:dyDescent="0.35">
      <c r="C3" s="369" t="s">
        <v>259</v>
      </c>
      <c r="D3" s="348" t="s">
        <v>221</v>
      </c>
      <c r="E3" s="549" t="s">
        <v>370</v>
      </c>
      <c r="G3" s="698"/>
      <c r="H3" s="699"/>
      <c r="I3" s="1614" t="s">
        <v>369</v>
      </c>
      <c r="J3" s="1616" t="s">
        <v>495</v>
      </c>
      <c r="K3" s="1616" t="s">
        <v>496</v>
      </c>
      <c r="L3" s="1631" t="s">
        <v>503</v>
      </c>
      <c r="M3" s="1618" t="s">
        <v>482</v>
      </c>
      <c r="N3" s="1620" t="s">
        <v>278</v>
      </c>
      <c r="O3" s="1594" t="str">
        <f>"To Buy Back one week of vacation is $"&amp;ROUND(+N12/52,0)&amp;" per week"</f>
        <v>To Buy Back one week of vacation is $1369 per week</v>
      </c>
      <c r="P3" s="1595"/>
      <c r="Q3" s="1595"/>
      <c r="S3" s="777" t="s">
        <v>78</v>
      </c>
      <c r="T3" s="777" t="str">
        <f>"Full Year with buy-back"</f>
        <v>Full Year with buy-back</v>
      </c>
      <c r="U3" s="777" t="str">
        <f>"1/2 Year with buy-back"</f>
        <v>1/2 Year with buy-back</v>
      </c>
      <c r="V3" s="781" t="s">
        <v>78</v>
      </c>
      <c r="W3" s="781" t="str">
        <f>"Full Year with buy-back"</f>
        <v>Full Year with buy-back</v>
      </c>
      <c r="X3" s="781" t="str">
        <f>"1/2 Year with buy-back"</f>
        <v>1/2 Year with buy-back</v>
      </c>
      <c r="Y3" s="777" t="s">
        <v>78</v>
      </c>
      <c r="Z3" s="777" t="str">
        <f>"Full Year with buy-back"</f>
        <v>Full Year with buy-back</v>
      </c>
      <c r="AA3" s="777" t="str">
        <f>"1/2 Year with buy-back"</f>
        <v>1/2 Year with buy-back</v>
      </c>
      <c r="AB3" s="781" t="s">
        <v>78</v>
      </c>
      <c r="AC3" s="781" t="str">
        <f>"Full Year with buy-back"</f>
        <v>Full Year with buy-back</v>
      </c>
      <c r="AD3" s="781" t="str">
        <f>"1/2 Year with buy-back"</f>
        <v>1/2 Year with buy-back</v>
      </c>
    </row>
    <row r="4" spans="1:30" ht="15" customHeight="1" x14ac:dyDescent="0.35">
      <c r="C4" s="369"/>
      <c r="D4" s="348"/>
      <c r="E4" s="865"/>
      <c r="G4" s="698"/>
      <c r="H4" s="699"/>
      <c r="I4" s="1615"/>
      <c r="J4" s="1617"/>
      <c r="K4" s="1617"/>
      <c r="L4" s="1632"/>
      <c r="M4" s="1619"/>
      <c r="N4" s="1621"/>
      <c r="O4" s="1612" t="s">
        <v>501</v>
      </c>
      <c r="P4" s="1613"/>
      <c r="Q4" s="1613"/>
      <c r="S4" s="777"/>
      <c r="T4" s="777"/>
      <c r="U4" s="777"/>
      <c r="V4" s="781"/>
      <c r="W4" s="781"/>
      <c r="X4" s="781"/>
      <c r="Y4" s="777"/>
      <c r="Z4" s="777"/>
      <c r="AA4" s="777"/>
      <c r="AB4" s="781"/>
      <c r="AC4" s="781"/>
      <c r="AD4" s="781"/>
    </row>
    <row r="5" spans="1:30" ht="14.5" customHeight="1" x14ac:dyDescent="0.35">
      <c r="A5" s="1599" t="s">
        <v>262</v>
      </c>
      <c r="B5" s="376" t="s">
        <v>35</v>
      </c>
      <c r="C5" s="370">
        <f>+C7-C6</f>
        <v>40802</v>
      </c>
      <c r="D5" s="370">
        <f>+D7-D6</f>
        <v>40802</v>
      </c>
      <c r="E5" s="143">
        <f>+E7-E6</f>
        <v>42687</v>
      </c>
      <c r="F5" s="1596" t="s">
        <v>371</v>
      </c>
      <c r="G5" s="1597"/>
      <c r="H5" s="1598"/>
      <c r="I5" s="370">
        <f>+I12-I6</f>
        <v>44553</v>
      </c>
      <c r="J5" s="370">
        <f>+I5/12*2</f>
        <v>7425.5</v>
      </c>
      <c r="K5" s="370">
        <f>ROUND((+I5/12*10)+J5,0)</f>
        <v>44553</v>
      </c>
      <c r="L5" s="903">
        <f>+J5*6</f>
        <v>44553</v>
      </c>
      <c r="M5" s="347">
        <f>+N5-(1369*2)</f>
        <v>48437</v>
      </c>
      <c r="N5" s="740">
        <f>+N7-N6</f>
        <v>51175</v>
      </c>
      <c r="O5" s="1612"/>
      <c r="P5" s="1613"/>
      <c r="Q5" s="1613"/>
      <c r="S5" s="347">
        <f>+S7-S6</f>
        <v>56157</v>
      </c>
      <c r="T5" s="347"/>
      <c r="U5" s="347"/>
      <c r="V5" s="370">
        <f>+V7-V6</f>
        <v>76869</v>
      </c>
      <c r="W5" s="370"/>
      <c r="X5" s="370"/>
      <c r="Y5" s="347">
        <f>+Y7-Y6</f>
        <v>57581</v>
      </c>
      <c r="Z5" s="347"/>
      <c r="AA5" s="347"/>
      <c r="AB5" s="370">
        <f>+AB7-AB6</f>
        <v>78293</v>
      </c>
      <c r="AC5" s="370"/>
      <c r="AD5" s="370"/>
    </row>
    <row r="6" spans="1:30" ht="15" thickBot="1" x14ac:dyDescent="0.4">
      <c r="A6" s="1600"/>
      <c r="B6" s="141" t="s">
        <v>124</v>
      </c>
      <c r="C6" s="148">
        <f>ROUND(+C7*0.3,0)</f>
        <v>17487</v>
      </c>
      <c r="D6" s="148">
        <f>ROUND(+D7*0.3,0)</f>
        <v>17487</v>
      </c>
      <c r="E6" s="373">
        <v>20000</v>
      </c>
      <c r="F6" s="1596"/>
      <c r="G6" s="1597"/>
      <c r="H6" s="1598"/>
      <c r="I6" s="373">
        <v>20000</v>
      </c>
      <c r="J6" s="782">
        <f>+I6/12*2</f>
        <v>3333.3333333333335</v>
      </c>
      <c r="K6" s="373">
        <f>ROUND((+I6/12*10)+J6,0)</f>
        <v>20000</v>
      </c>
      <c r="L6" s="904">
        <f>+J6*6</f>
        <v>20000</v>
      </c>
      <c r="M6" s="359">
        <v>20000</v>
      </c>
      <c r="N6" s="741">
        <v>20000</v>
      </c>
      <c r="O6" s="1612"/>
      <c r="P6" s="1613"/>
      <c r="Q6" s="1613"/>
      <c r="S6" s="776">
        <f>+I6</f>
        <v>20000</v>
      </c>
      <c r="T6" s="359"/>
      <c r="U6" s="359"/>
      <c r="V6" s="782">
        <f>+P6</f>
        <v>0</v>
      </c>
      <c r="W6" s="373"/>
      <c r="X6" s="373"/>
      <c r="Y6" s="776">
        <f>+S6</f>
        <v>20000</v>
      </c>
      <c r="Z6" s="359"/>
      <c r="AA6" s="359"/>
      <c r="AB6" s="782">
        <f>+V6</f>
        <v>0</v>
      </c>
      <c r="AC6" s="373"/>
      <c r="AD6" s="373"/>
    </row>
    <row r="7" spans="1:30" ht="14.5" hidden="1" customHeight="1" x14ac:dyDescent="0.35">
      <c r="A7" s="1600"/>
      <c r="B7" s="141" t="s">
        <v>125</v>
      </c>
      <c r="C7" s="371">
        <v>58289</v>
      </c>
      <c r="D7" s="371">
        <v>58289</v>
      </c>
      <c r="E7" s="152">
        <f>+ROUND((62066*1.01),0)</f>
        <v>62687</v>
      </c>
      <c r="F7" s="1596"/>
      <c r="G7" s="1597"/>
      <c r="H7" s="1598"/>
      <c r="I7" s="867">
        <f>+I5+I6</f>
        <v>64553</v>
      </c>
      <c r="J7" s="867">
        <f>+J5+J6</f>
        <v>10758.833333333334</v>
      </c>
      <c r="K7" s="867">
        <f>+K5+K6</f>
        <v>64553</v>
      </c>
      <c r="L7" s="905"/>
      <c r="M7" s="805">
        <f>+M5+M6</f>
        <v>68437</v>
      </c>
      <c r="N7" s="545">
        <v>71175</v>
      </c>
      <c r="O7" s="1612"/>
      <c r="P7" s="1613"/>
      <c r="Q7" s="1613"/>
      <c r="S7" s="780">
        <f>ROUND(+$N7*(1+S1),0)</f>
        <v>76157</v>
      </c>
      <c r="T7" s="346"/>
      <c r="U7" s="346"/>
      <c r="V7" s="783">
        <f>ROUND(+$N7*(1+V1),0)</f>
        <v>76869</v>
      </c>
      <c r="W7" s="371"/>
      <c r="X7" s="371"/>
      <c r="Y7" s="780">
        <f>ROUND(+$N7*(1+Y1),0)</f>
        <v>77581</v>
      </c>
      <c r="Z7" s="346"/>
      <c r="AA7" s="346"/>
      <c r="AB7" s="783">
        <f>ROUND(+$N7*(1+AB1),0)</f>
        <v>78293</v>
      </c>
      <c r="AC7" s="371"/>
      <c r="AD7" s="371"/>
    </row>
    <row r="8" spans="1:30" ht="5.5" hidden="1" customHeight="1" x14ac:dyDescent="0.35">
      <c r="A8" s="1600"/>
      <c r="B8" s="153"/>
      <c r="C8" s="146"/>
      <c r="D8" s="146"/>
      <c r="E8" s="146"/>
      <c r="F8" s="1596"/>
      <c r="G8" s="1597"/>
      <c r="H8" s="1598"/>
      <c r="I8" s="146"/>
      <c r="J8" s="146"/>
      <c r="K8" s="146"/>
      <c r="L8" s="906"/>
      <c r="M8" s="113"/>
      <c r="N8" s="507"/>
      <c r="O8" s="734"/>
      <c r="P8" s="735"/>
      <c r="Q8" s="735"/>
      <c r="R8" s="154"/>
      <c r="S8" s="113"/>
      <c r="T8" s="113"/>
      <c r="U8" s="113"/>
      <c r="V8" s="146"/>
      <c r="W8" s="146"/>
      <c r="X8" s="146"/>
      <c r="Y8" s="113"/>
      <c r="Z8" s="113"/>
      <c r="AA8" s="113"/>
      <c r="AB8" s="146"/>
      <c r="AC8" s="146"/>
      <c r="AD8" s="146"/>
    </row>
    <row r="9" spans="1:30" ht="14.5" hidden="1" customHeight="1" x14ac:dyDescent="0.35">
      <c r="A9" s="1600"/>
      <c r="B9" s="141" t="s">
        <v>131</v>
      </c>
      <c r="C9" s="372">
        <v>1</v>
      </c>
      <c r="D9" s="372">
        <v>0.5</v>
      </c>
      <c r="E9" s="372">
        <v>1</v>
      </c>
      <c r="F9" s="1596"/>
      <c r="G9" s="1597"/>
      <c r="H9" s="1598"/>
      <c r="I9" s="372">
        <v>1</v>
      </c>
      <c r="J9" s="372">
        <v>1</v>
      </c>
      <c r="K9" s="372">
        <v>1</v>
      </c>
      <c r="L9" s="907"/>
      <c r="M9" s="345">
        <v>1</v>
      </c>
      <c r="N9" s="742">
        <v>1</v>
      </c>
      <c r="O9" s="734"/>
      <c r="P9" s="735"/>
      <c r="Q9" s="735"/>
      <c r="R9" s="154"/>
      <c r="S9" s="345">
        <v>1</v>
      </c>
      <c r="T9" s="345">
        <v>1</v>
      </c>
      <c r="U9" s="345">
        <v>0.5</v>
      </c>
      <c r="V9" s="372">
        <v>1</v>
      </c>
      <c r="W9" s="372">
        <v>1</v>
      </c>
      <c r="X9" s="372">
        <v>0.5</v>
      </c>
      <c r="Y9" s="345">
        <v>1</v>
      </c>
      <c r="Z9" s="345">
        <v>1</v>
      </c>
      <c r="AA9" s="345">
        <v>0.5</v>
      </c>
      <c r="AB9" s="372">
        <v>1</v>
      </c>
      <c r="AC9" s="372">
        <v>1</v>
      </c>
      <c r="AD9" s="372">
        <v>0.5</v>
      </c>
    </row>
    <row r="10" spans="1:30" ht="14.5" hidden="1" customHeight="1" x14ac:dyDescent="0.35">
      <c r="A10" s="1600"/>
      <c r="B10" s="153"/>
      <c r="C10" s="146"/>
      <c r="D10" s="146"/>
      <c r="E10" s="146"/>
      <c r="F10" s="1596"/>
      <c r="G10" s="1597"/>
      <c r="H10" s="1598"/>
      <c r="I10" s="146"/>
      <c r="J10" s="146"/>
      <c r="K10" s="146"/>
      <c r="L10" s="906"/>
      <c r="M10" s="113"/>
      <c r="N10" s="507"/>
      <c r="O10" s="734"/>
      <c r="P10" s="735"/>
      <c r="Q10" s="735"/>
      <c r="R10" s="154"/>
      <c r="S10" s="113"/>
      <c r="T10" s="113"/>
      <c r="U10" s="113"/>
      <c r="V10" s="143"/>
      <c r="W10" s="146"/>
      <c r="X10" s="146"/>
      <c r="Y10" s="113"/>
      <c r="Z10" s="113"/>
      <c r="AA10" s="113"/>
      <c r="AB10" s="146"/>
      <c r="AC10" s="146"/>
      <c r="AD10" s="146"/>
    </row>
    <row r="11" spans="1:30" ht="14.5" hidden="1" customHeight="1" x14ac:dyDescent="0.35">
      <c r="A11" s="1600"/>
      <c r="B11" s="141"/>
      <c r="C11" s="357">
        <v>0</v>
      </c>
      <c r="D11" s="357">
        <v>0</v>
      </c>
      <c r="E11" s="159"/>
      <c r="F11" s="1596"/>
      <c r="G11" s="1597"/>
      <c r="H11" s="1598"/>
      <c r="I11" s="357"/>
      <c r="J11" s="357"/>
      <c r="K11" s="357"/>
      <c r="L11" s="908"/>
      <c r="M11" s="361"/>
      <c r="N11" s="539"/>
      <c r="O11" s="734"/>
      <c r="P11" s="735"/>
      <c r="Q11" s="735"/>
      <c r="R11" s="154"/>
      <c r="S11" s="361"/>
      <c r="T11" s="361"/>
      <c r="U11" s="361"/>
      <c r="V11" s="357"/>
      <c r="W11" s="357"/>
      <c r="X11" s="357"/>
      <c r="Y11" s="361"/>
      <c r="Z11" s="361"/>
      <c r="AA11" s="361"/>
      <c r="AB11" s="357"/>
      <c r="AC11" s="357"/>
      <c r="AD11" s="357"/>
    </row>
    <row r="12" spans="1:30" x14ac:dyDescent="0.35">
      <c r="A12" s="1600"/>
      <c r="B12" s="160" t="s">
        <v>141</v>
      </c>
      <c r="C12" s="349">
        <f>ROUND(+C7*(1+C11)*C9,0)</f>
        <v>58289</v>
      </c>
      <c r="D12" s="349">
        <f>ROUND(+D7*(1+D11)*D9,0)</f>
        <v>29145</v>
      </c>
      <c r="E12" s="487">
        <f>ROUND(+E7*(1+E11)*E9,0)</f>
        <v>62687</v>
      </c>
      <c r="F12" s="1596"/>
      <c r="G12" s="1597"/>
      <c r="H12" s="1598"/>
      <c r="I12" s="164">
        <f>66953-2400</f>
        <v>64553</v>
      </c>
      <c r="J12" s="487">
        <f>+J7</f>
        <v>10758.833333333334</v>
      </c>
      <c r="K12" s="487">
        <f>+K7</f>
        <v>64553</v>
      </c>
      <c r="L12" s="909">
        <f>+L5+L6</f>
        <v>64553</v>
      </c>
      <c r="M12" s="117">
        <f>+M5+M6</f>
        <v>68437</v>
      </c>
      <c r="N12" s="514">
        <f>ROUND((+N7*(1+N11)*N9),0)</f>
        <v>71175</v>
      </c>
      <c r="O12" s="734"/>
      <c r="P12" s="894"/>
      <c r="Q12" s="735"/>
      <c r="R12" s="95"/>
      <c r="S12" s="117">
        <f>ROUND((+S7*S9),0)</f>
        <v>76157</v>
      </c>
      <c r="T12" s="117">
        <f>ROUND((+S7*T9)-((S7/52)*2),0)</f>
        <v>73228</v>
      </c>
      <c r="U12" s="117">
        <f>+T12*U9</f>
        <v>36614</v>
      </c>
      <c r="V12" s="349">
        <f>ROUND((+V7*V9),0)</f>
        <v>76869</v>
      </c>
      <c r="W12" s="349">
        <f>ROUND((+V7*W9)-((V7/52)*2),0)</f>
        <v>73913</v>
      </c>
      <c r="X12" s="349">
        <f>+W12*X9</f>
        <v>36956.5</v>
      </c>
      <c r="Y12" s="117">
        <f>ROUND((+Y7*Y9),0)</f>
        <v>77581</v>
      </c>
      <c r="Z12" s="117">
        <f>ROUND((+Y7*Z9)-((Y7/52)*2),0)</f>
        <v>74597</v>
      </c>
      <c r="AA12" s="117">
        <f>+Z12*AA9</f>
        <v>37298.5</v>
      </c>
      <c r="AB12" s="349">
        <f>ROUND((+AB7*AB9),0)</f>
        <v>78293</v>
      </c>
      <c r="AC12" s="349">
        <f>ROUND((+AB7*AC9)-((AB7/52)*2),0)</f>
        <v>75282</v>
      </c>
      <c r="AD12" s="349">
        <f>+AC12*AD9</f>
        <v>37641</v>
      </c>
    </row>
    <row r="13" spans="1:30" ht="7.5" customHeight="1" x14ac:dyDescent="0.35">
      <c r="A13" s="1600"/>
      <c r="B13" s="1602" t="s">
        <v>261</v>
      </c>
      <c r="C13" s="146"/>
      <c r="D13" s="146"/>
      <c r="E13" s="146"/>
      <c r="I13" s="146"/>
      <c r="J13" s="146"/>
      <c r="K13" s="146"/>
      <c r="L13" s="906"/>
      <c r="M13" s="113"/>
      <c r="N13" s="507"/>
      <c r="P13" s="154"/>
      <c r="Q13" s="154"/>
      <c r="R13" s="95"/>
      <c r="S13" s="113"/>
      <c r="T13" s="113"/>
      <c r="U13" s="113"/>
      <c r="V13" s="146"/>
      <c r="W13" s="146"/>
      <c r="X13" s="146"/>
      <c r="Y13" s="113"/>
      <c r="Z13" s="113"/>
      <c r="AA13" s="113"/>
      <c r="AB13" s="146"/>
      <c r="AC13" s="146"/>
      <c r="AD13" s="146"/>
    </row>
    <row r="14" spans="1:30" ht="17" customHeight="1" x14ac:dyDescent="0.35">
      <c r="A14" s="1600"/>
      <c r="B14" s="1602"/>
      <c r="C14" s="165">
        <f>+C28</f>
        <v>0</v>
      </c>
      <c r="D14" s="165">
        <f>+D28</f>
        <v>0</v>
      </c>
      <c r="E14" s="165">
        <f>+E28</f>
        <v>2400</v>
      </c>
      <c r="I14" s="165">
        <f>+I28</f>
        <v>2400</v>
      </c>
      <c r="J14" s="354">
        <v>0</v>
      </c>
      <c r="K14" s="165">
        <f>ROUND((I14/12*10)+J14,0)</f>
        <v>2000</v>
      </c>
      <c r="L14" s="910">
        <v>0</v>
      </c>
      <c r="M14" s="108">
        <f>+M28</f>
        <v>0</v>
      </c>
      <c r="N14" s="515">
        <f>+N28</f>
        <v>0</v>
      </c>
      <c r="O14" s="126"/>
      <c r="P14" s="900"/>
      <c r="Q14" s="773"/>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600"/>
      <c r="B15" s="1602"/>
      <c r="C15" s="146"/>
      <c r="D15" s="146"/>
      <c r="E15" s="146"/>
      <c r="I15" s="146"/>
      <c r="J15" s="146"/>
      <c r="K15" s="146"/>
      <c r="L15" s="906"/>
      <c r="M15" s="113"/>
      <c r="N15" s="507"/>
      <c r="O15" s="774"/>
      <c r="P15" s="774"/>
      <c r="Q15" s="774"/>
      <c r="R15" s="486"/>
      <c r="S15" s="113"/>
      <c r="T15" s="113"/>
      <c r="U15" s="113"/>
      <c r="V15" s="146"/>
      <c r="W15" s="146"/>
      <c r="X15" s="146"/>
      <c r="Y15" s="113"/>
      <c r="Z15" s="113"/>
      <c r="AA15" s="113"/>
      <c r="AB15" s="146"/>
      <c r="AC15" s="146"/>
      <c r="AD15" s="146"/>
    </row>
    <row r="16" spans="1:30" x14ac:dyDescent="0.35">
      <c r="A16" s="1600"/>
      <c r="B16" s="160" t="s">
        <v>141</v>
      </c>
      <c r="C16" s="349">
        <f>+C12+C14</f>
        <v>58289</v>
      </c>
      <c r="D16" s="349">
        <f>+D12+D14</f>
        <v>29145</v>
      </c>
      <c r="E16" s="487">
        <f>+E12+E14</f>
        <v>65087</v>
      </c>
      <c r="I16" s="349">
        <f t="shared" ref="I16:N16" si="1">+I12+I14</f>
        <v>66953</v>
      </c>
      <c r="J16" s="349">
        <f t="shared" si="1"/>
        <v>10758.833333333334</v>
      </c>
      <c r="K16" s="349">
        <f t="shared" si="1"/>
        <v>66553</v>
      </c>
      <c r="L16" s="911">
        <f t="shared" si="1"/>
        <v>64553</v>
      </c>
      <c r="M16" s="117">
        <f t="shared" si="1"/>
        <v>68437</v>
      </c>
      <c r="N16" s="766">
        <f t="shared" si="1"/>
        <v>71175</v>
      </c>
      <c r="O16" s="1603" t="s">
        <v>502</v>
      </c>
      <c r="P16" s="1604"/>
      <c r="Q16" s="1605"/>
      <c r="R16" s="177"/>
      <c r="S16" s="117">
        <f t="shared" ref="S16:AD16" si="2">+S12+S14</f>
        <v>78557</v>
      </c>
      <c r="T16" s="117">
        <f t="shared" si="2"/>
        <v>75628</v>
      </c>
      <c r="U16" s="117">
        <f t="shared" si="2"/>
        <v>37814</v>
      </c>
      <c r="V16" s="349">
        <f t="shared" si="2"/>
        <v>79269</v>
      </c>
      <c r="W16" s="349">
        <f t="shared" si="2"/>
        <v>76313</v>
      </c>
      <c r="X16" s="349">
        <f t="shared" si="2"/>
        <v>38156.5</v>
      </c>
      <c r="Y16" s="117">
        <f t="shared" si="2"/>
        <v>79981</v>
      </c>
      <c r="Z16" s="117">
        <f t="shared" si="2"/>
        <v>76997</v>
      </c>
      <c r="AA16" s="117">
        <f t="shared" si="2"/>
        <v>38498.5</v>
      </c>
      <c r="AB16" s="349">
        <f t="shared" si="2"/>
        <v>80693</v>
      </c>
      <c r="AC16" s="349">
        <f t="shared" si="2"/>
        <v>77682</v>
      </c>
      <c r="AD16" s="349">
        <f t="shared" si="2"/>
        <v>38841</v>
      </c>
    </row>
    <row r="17" spans="1:30" ht="6.5" customHeight="1" x14ac:dyDescent="0.35">
      <c r="A17" s="1600"/>
      <c r="B17" s="153"/>
      <c r="C17" s="146"/>
      <c r="D17" s="146"/>
      <c r="E17" s="146"/>
      <c r="I17" s="146"/>
      <c r="J17" s="146"/>
      <c r="K17" s="146"/>
      <c r="L17" s="906"/>
      <c r="M17" s="113"/>
      <c r="N17" s="765"/>
      <c r="O17" s="1606"/>
      <c r="P17" s="1607"/>
      <c r="Q17" s="1608"/>
      <c r="R17" s="154"/>
      <c r="S17" s="113"/>
      <c r="T17" s="113"/>
      <c r="U17" s="113"/>
      <c r="V17" s="146"/>
      <c r="W17" s="146"/>
      <c r="X17" s="146"/>
      <c r="Y17" s="113"/>
      <c r="Z17" s="113"/>
      <c r="AA17" s="113"/>
      <c r="AB17" s="146"/>
      <c r="AC17" s="146"/>
      <c r="AD17" s="146"/>
    </row>
    <row r="18" spans="1:30" x14ac:dyDescent="0.35">
      <c r="A18" s="1600"/>
      <c r="B18" s="153" t="s">
        <v>407</v>
      </c>
      <c r="C18" s="167">
        <v>7.6499999999999999E-2</v>
      </c>
      <c r="D18" s="167">
        <v>7.6499999999999999E-2</v>
      </c>
      <c r="E18" s="382">
        <v>7.6499999999999999E-2</v>
      </c>
      <c r="F18" s="1622" t="s">
        <v>264</v>
      </c>
      <c r="G18" s="1623"/>
      <c r="H18" s="1624"/>
      <c r="I18" s="382">
        <v>7.6499999999999999E-2</v>
      </c>
      <c r="J18" s="382">
        <v>7.6499999999999999E-2</v>
      </c>
      <c r="K18" s="382">
        <v>7.6499999999999999E-2</v>
      </c>
      <c r="L18" s="912">
        <v>7.6499999999999999E-2</v>
      </c>
      <c r="M18" s="555">
        <v>7.6499999999999999E-2</v>
      </c>
      <c r="N18" s="767">
        <v>7.6499999999999999E-2</v>
      </c>
      <c r="O18" s="1606"/>
      <c r="P18" s="1607"/>
      <c r="Q18" s="1608"/>
      <c r="R18" s="95"/>
      <c r="S18" s="555">
        <v>7.6499999999999999E-2</v>
      </c>
      <c r="T18" s="555">
        <v>7.6499999999999999E-2</v>
      </c>
      <c r="U18" s="555">
        <v>7.6499999999999999E-2</v>
      </c>
      <c r="V18" s="382">
        <v>7.6499999999999999E-2</v>
      </c>
      <c r="W18" s="382">
        <v>7.6499999999999999E-2</v>
      </c>
      <c r="X18" s="382">
        <v>7.6499999999999999E-2</v>
      </c>
      <c r="Y18" s="555">
        <v>7.6499999999999999E-2</v>
      </c>
      <c r="Z18" s="555">
        <v>7.6499999999999999E-2</v>
      </c>
      <c r="AA18" s="555">
        <v>7.6499999999999999E-2</v>
      </c>
      <c r="AB18" s="382">
        <v>7.6499999999999999E-2</v>
      </c>
      <c r="AC18" s="382">
        <v>7.6499999999999999E-2</v>
      </c>
      <c r="AD18" s="382">
        <v>7.6499999999999999E-2</v>
      </c>
    </row>
    <row r="19" spans="1:30" x14ac:dyDescent="0.35">
      <c r="A19" s="1600"/>
      <c r="B19" s="153" t="s">
        <v>229</v>
      </c>
      <c r="C19" s="165">
        <f>ROUND(+C16*C18,0)</f>
        <v>4459</v>
      </c>
      <c r="D19" s="165">
        <f>ROUND(+D16*D18,0)</f>
        <v>2230</v>
      </c>
      <c r="E19" s="165">
        <f>ROUND(+E16*E18,0)</f>
        <v>4979</v>
      </c>
      <c r="F19" s="116"/>
      <c r="I19" s="165">
        <f t="shared" ref="I19:N19" si="3">ROUND(+I16*I18,0)</f>
        <v>5122</v>
      </c>
      <c r="J19" s="165">
        <f t="shared" si="3"/>
        <v>823</v>
      </c>
      <c r="K19" s="165">
        <f t="shared" si="3"/>
        <v>5091</v>
      </c>
      <c r="L19" s="910">
        <f t="shared" si="3"/>
        <v>4938</v>
      </c>
      <c r="M19" s="108">
        <f t="shared" si="3"/>
        <v>5235</v>
      </c>
      <c r="N19" s="764">
        <f t="shared" si="3"/>
        <v>5445</v>
      </c>
      <c r="O19" s="1606"/>
      <c r="P19" s="1607"/>
      <c r="Q19" s="1608"/>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601"/>
      <c r="B20" s="168" t="s">
        <v>143</v>
      </c>
      <c r="C20" s="172">
        <f>+C16+C19</f>
        <v>62748</v>
      </c>
      <c r="D20" s="172">
        <f>+D16+D19</f>
        <v>31375</v>
      </c>
      <c r="E20" s="172">
        <f>+E16+E19</f>
        <v>70066</v>
      </c>
      <c r="I20" s="172">
        <f t="shared" ref="I20:N20" si="5">+I16+I19</f>
        <v>72075</v>
      </c>
      <c r="J20" s="172">
        <f t="shared" si="5"/>
        <v>11581.833333333334</v>
      </c>
      <c r="K20" s="172">
        <f t="shared" si="5"/>
        <v>71644</v>
      </c>
      <c r="L20" s="913">
        <f t="shared" si="5"/>
        <v>69491</v>
      </c>
      <c r="M20" s="119">
        <f t="shared" si="5"/>
        <v>73672</v>
      </c>
      <c r="N20" s="768">
        <f t="shared" si="5"/>
        <v>76620</v>
      </c>
      <c r="O20" s="1609"/>
      <c r="P20" s="1610"/>
      <c r="Q20" s="1611"/>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06"/>
      <c r="X21" s="173"/>
      <c r="Y21" s="173"/>
      <c r="Z21" s="173"/>
      <c r="AA21" s="173"/>
      <c r="AB21" s="173"/>
      <c r="AC21" s="173"/>
      <c r="AD21" s="173"/>
    </row>
    <row r="22" spans="1:30" ht="14.5" hidden="1" customHeight="1" x14ac:dyDescent="0.35">
      <c r="B22" s="139" t="s">
        <v>144</v>
      </c>
      <c r="C22" s="491">
        <f>ROUND(22025*C9,0)</f>
        <v>22025</v>
      </c>
      <c r="D22" s="491">
        <f>ROUND(C22*D$9,0)</f>
        <v>11013</v>
      </c>
      <c r="E22" s="492">
        <v>6000</v>
      </c>
      <c r="F22" s="122"/>
      <c r="G22" s="122"/>
      <c r="H22" s="122"/>
      <c r="I22" s="492">
        <v>6000</v>
      </c>
      <c r="J22" s="492">
        <v>0</v>
      </c>
      <c r="K22" s="491">
        <f>ROUND((I22/12*10)+J22,0)</f>
        <v>5000</v>
      </c>
      <c r="L22" s="492">
        <v>0</v>
      </c>
      <c r="M22" s="696">
        <v>0</v>
      </c>
      <c r="N22" s="743">
        <v>0</v>
      </c>
      <c r="O22" s="154"/>
      <c r="P22" s="154"/>
      <c r="Q22" s="154"/>
      <c r="R22" s="154"/>
      <c r="S22" s="696">
        <v>6000</v>
      </c>
      <c r="T22" s="696">
        <v>6000</v>
      </c>
      <c r="U22" s="696">
        <v>3000</v>
      </c>
      <c r="V22" s="492">
        <v>6000</v>
      </c>
      <c r="W22" s="492">
        <v>6000</v>
      </c>
      <c r="X22" s="492">
        <v>3000</v>
      </c>
      <c r="Y22" s="696">
        <v>6000</v>
      </c>
      <c r="Z22" s="696">
        <v>6000</v>
      </c>
      <c r="AA22" s="696">
        <v>3000</v>
      </c>
      <c r="AB22" s="492">
        <v>6000</v>
      </c>
      <c r="AC22" s="492">
        <v>6000</v>
      </c>
      <c r="AD22" s="492">
        <v>3000</v>
      </c>
    </row>
    <row r="23" spans="1:30" ht="14.5" hidden="1" customHeight="1" x14ac:dyDescent="0.35">
      <c r="A23" s="899"/>
      <c r="B23" s="153" t="s">
        <v>164</v>
      </c>
      <c r="C23" s="146"/>
      <c r="D23" s="103"/>
      <c r="E23" s="354">
        <v>0</v>
      </c>
      <c r="F23" s="257"/>
      <c r="G23" s="257"/>
      <c r="H23" s="257"/>
      <c r="I23" s="354">
        <v>0</v>
      </c>
      <c r="J23" s="354">
        <v>0</v>
      </c>
      <c r="K23" s="165">
        <f>ROUND((I23/12*10)+J23,0)</f>
        <v>0</v>
      </c>
      <c r="L23" s="354">
        <v>0</v>
      </c>
      <c r="M23" s="554">
        <v>0</v>
      </c>
      <c r="N23" s="519">
        <v>0</v>
      </c>
      <c r="O23" s="154"/>
      <c r="P23" s="154"/>
      <c r="Q23" s="154"/>
      <c r="R23" s="154"/>
      <c r="S23" s="554">
        <v>0</v>
      </c>
      <c r="T23" s="554">
        <v>0</v>
      </c>
      <c r="U23" s="554">
        <v>0</v>
      </c>
      <c r="V23" s="354">
        <v>0</v>
      </c>
      <c r="W23" s="354">
        <v>0</v>
      </c>
      <c r="X23" s="354">
        <v>0</v>
      </c>
      <c r="Y23" s="554">
        <v>0</v>
      </c>
      <c r="Z23" s="554">
        <v>0</v>
      </c>
      <c r="AA23" s="554">
        <v>0</v>
      </c>
      <c r="AB23" s="354">
        <v>0</v>
      </c>
      <c r="AC23" s="354">
        <v>0</v>
      </c>
      <c r="AD23" s="354">
        <v>0</v>
      </c>
    </row>
    <row r="24" spans="1:30" x14ac:dyDescent="0.35">
      <c r="A24" s="1599" t="s">
        <v>145</v>
      </c>
      <c r="B24" s="174" t="s">
        <v>145</v>
      </c>
      <c r="C24" s="140"/>
      <c r="D24" s="896"/>
      <c r="E24" s="491">
        <f>+E22+E23</f>
        <v>6000</v>
      </c>
      <c r="F24" s="122"/>
      <c r="G24" s="122"/>
      <c r="H24" s="122"/>
      <c r="I24" s="491">
        <f t="shared" ref="I24:N24" si="7">+I22+I23</f>
        <v>6000</v>
      </c>
      <c r="J24" s="491">
        <f t="shared" si="7"/>
        <v>0</v>
      </c>
      <c r="K24" s="491">
        <f t="shared" si="7"/>
        <v>5000</v>
      </c>
      <c r="L24" s="914">
        <f t="shared" si="7"/>
        <v>0</v>
      </c>
      <c r="M24" s="897">
        <f t="shared" si="7"/>
        <v>0</v>
      </c>
      <c r="N24" s="898">
        <f t="shared" si="7"/>
        <v>0</v>
      </c>
      <c r="O24" s="154"/>
      <c r="P24" s="154"/>
      <c r="Q24" s="154"/>
      <c r="R24" s="154"/>
      <c r="S24" s="556">
        <f t="shared" ref="S24:AD24" si="8">+S22+S23</f>
        <v>6000</v>
      </c>
      <c r="T24" s="556">
        <f t="shared" si="8"/>
        <v>6000</v>
      </c>
      <c r="U24" s="556">
        <f t="shared" si="8"/>
        <v>3000</v>
      </c>
      <c r="V24" s="355">
        <f t="shared" si="8"/>
        <v>6000</v>
      </c>
      <c r="W24" s="355">
        <f t="shared" si="8"/>
        <v>6000</v>
      </c>
      <c r="X24" s="355">
        <f t="shared" si="8"/>
        <v>3000</v>
      </c>
      <c r="Y24" s="556">
        <f t="shared" si="8"/>
        <v>6000</v>
      </c>
      <c r="Z24" s="556">
        <f t="shared" si="8"/>
        <v>6000</v>
      </c>
      <c r="AA24" s="556">
        <f t="shared" si="8"/>
        <v>3000</v>
      </c>
      <c r="AB24" s="355">
        <f t="shared" si="8"/>
        <v>6000</v>
      </c>
      <c r="AC24" s="355">
        <f t="shared" si="8"/>
        <v>6000</v>
      </c>
      <c r="AD24" s="355">
        <f t="shared" si="8"/>
        <v>3000</v>
      </c>
    </row>
    <row r="25" spans="1:30" ht="14.5" customHeight="1" x14ac:dyDescent="0.35">
      <c r="A25" s="1600"/>
      <c r="B25" s="161" t="s">
        <v>497</v>
      </c>
      <c r="C25" s="146"/>
      <c r="D25" s="155"/>
      <c r="E25" s="386">
        <v>0</v>
      </c>
      <c r="F25" s="895"/>
      <c r="G25" s="895"/>
      <c r="H25" s="895"/>
      <c r="I25" s="386">
        <v>0</v>
      </c>
      <c r="J25" s="386">
        <f>835*4</f>
        <v>3340</v>
      </c>
      <c r="K25" s="355">
        <f>ROUND((I25/12*10)+J25,0)</f>
        <v>3340</v>
      </c>
      <c r="L25" s="915">
        <f>835*12*2</f>
        <v>20040</v>
      </c>
      <c r="M25" s="892">
        <f>835*12*2</f>
        <v>20040</v>
      </c>
      <c r="N25" s="893">
        <v>20040</v>
      </c>
      <c r="O25" s="154"/>
      <c r="P25" s="154"/>
      <c r="Q25" s="154"/>
      <c r="R25" s="154"/>
      <c r="S25" s="113"/>
      <c r="T25" s="113"/>
      <c r="U25" s="113"/>
      <c r="V25" s="146"/>
      <c r="W25" s="146"/>
      <c r="X25" s="146"/>
      <c r="Y25" s="113"/>
      <c r="Z25" s="113"/>
      <c r="AA25" s="113"/>
      <c r="AB25" s="146"/>
      <c r="AC25" s="146"/>
      <c r="AD25" s="146"/>
    </row>
    <row r="26" spans="1:30" x14ac:dyDescent="0.35">
      <c r="A26" s="1600"/>
      <c r="B26" s="153" t="s">
        <v>237</v>
      </c>
      <c r="C26" s="146"/>
      <c r="D26" s="103"/>
      <c r="E26" s="354">
        <v>1800</v>
      </c>
      <c r="F26" s="257"/>
      <c r="G26" s="257"/>
      <c r="H26" s="257"/>
      <c r="I26" s="354">
        <v>1800</v>
      </c>
      <c r="J26" s="354">
        <v>0</v>
      </c>
      <c r="K26" s="165">
        <f>+I26/12*10</f>
        <v>1500</v>
      </c>
      <c r="L26" s="916">
        <v>0</v>
      </c>
      <c r="M26" s="554">
        <v>0</v>
      </c>
      <c r="N26" s="519">
        <v>0</v>
      </c>
      <c r="O26" s="154"/>
      <c r="P26" s="154"/>
      <c r="Q26" s="154"/>
      <c r="R26" s="154"/>
      <c r="S26" s="554">
        <v>1800</v>
      </c>
      <c r="T26" s="554">
        <v>1800</v>
      </c>
      <c r="U26" s="554">
        <v>900</v>
      </c>
      <c r="V26" s="354">
        <v>1800</v>
      </c>
      <c r="W26" s="354">
        <v>1800</v>
      </c>
      <c r="X26" s="354">
        <v>900</v>
      </c>
      <c r="Y26" s="554">
        <v>1800</v>
      </c>
      <c r="Z26" s="554">
        <v>1800</v>
      </c>
      <c r="AA26" s="554">
        <v>900</v>
      </c>
      <c r="AB26" s="354">
        <v>1800</v>
      </c>
      <c r="AC26" s="354">
        <v>1800</v>
      </c>
      <c r="AD26" s="354">
        <v>900</v>
      </c>
    </row>
    <row r="27" spans="1:30" x14ac:dyDescent="0.35">
      <c r="A27" s="1600"/>
      <c r="B27" s="153" t="s">
        <v>401</v>
      </c>
      <c r="C27" s="146"/>
      <c r="D27" s="693"/>
      <c r="E27" s="382">
        <v>0.25</v>
      </c>
      <c r="F27" s="124"/>
      <c r="G27" s="257"/>
      <c r="H27" s="257"/>
      <c r="I27" s="382">
        <v>0.25</v>
      </c>
      <c r="J27" s="382">
        <v>0.25</v>
      </c>
      <c r="K27" s="382">
        <v>0.25</v>
      </c>
      <c r="L27" s="912">
        <v>0.25</v>
      </c>
      <c r="M27" s="555">
        <v>0.25</v>
      </c>
      <c r="N27" s="522">
        <v>0.25</v>
      </c>
      <c r="O27" s="154"/>
      <c r="P27" s="154"/>
      <c r="Q27" s="154"/>
      <c r="R27" s="154"/>
      <c r="S27" s="555">
        <v>0.25</v>
      </c>
      <c r="T27" s="555">
        <v>0.25</v>
      </c>
      <c r="U27" s="555">
        <v>0.25</v>
      </c>
      <c r="V27" s="382">
        <v>0.25</v>
      </c>
      <c r="W27" s="382">
        <v>0.25</v>
      </c>
      <c r="X27" s="382">
        <v>0.25</v>
      </c>
      <c r="Y27" s="555">
        <v>0.25</v>
      </c>
      <c r="Z27" s="555">
        <v>0.25</v>
      </c>
      <c r="AA27" s="555">
        <v>0.25</v>
      </c>
      <c r="AB27" s="382">
        <v>0.25</v>
      </c>
      <c r="AC27" s="382">
        <v>0.25</v>
      </c>
      <c r="AD27" s="382">
        <v>0.25</v>
      </c>
    </row>
    <row r="28" spans="1:30" x14ac:dyDescent="0.35">
      <c r="A28" s="1600"/>
      <c r="B28" s="161" t="s">
        <v>260</v>
      </c>
      <c r="C28" s="386">
        <v>0</v>
      </c>
      <c r="D28" s="385">
        <v>0</v>
      </c>
      <c r="E28" s="355">
        <f>ROUND(+E26/(1-E27),0)</f>
        <v>2400</v>
      </c>
      <c r="F28" s="124"/>
      <c r="G28" s="257"/>
      <c r="H28" s="257"/>
      <c r="I28" s="355">
        <f t="shared" ref="I28:N28" si="9">ROUND(+I26/(1-I27),0)</f>
        <v>2400</v>
      </c>
      <c r="J28" s="355">
        <f t="shared" si="9"/>
        <v>0</v>
      </c>
      <c r="K28" s="355">
        <f t="shared" si="9"/>
        <v>2000</v>
      </c>
      <c r="L28" s="917">
        <f t="shared" si="9"/>
        <v>0</v>
      </c>
      <c r="M28" s="556">
        <f t="shared" si="9"/>
        <v>0</v>
      </c>
      <c r="N28" s="524">
        <f t="shared" si="9"/>
        <v>0</v>
      </c>
      <c r="O28" s="154"/>
      <c r="P28" s="154"/>
      <c r="Q28" s="154"/>
      <c r="R28" s="154"/>
      <c r="S28" s="556">
        <f t="shared" ref="S28:AD28" si="10">ROUND(+S26/(1-S27),0)</f>
        <v>2400</v>
      </c>
      <c r="T28" s="556">
        <f t="shared" si="10"/>
        <v>2400</v>
      </c>
      <c r="U28" s="556">
        <f t="shared" si="10"/>
        <v>1200</v>
      </c>
      <c r="V28" s="355">
        <f t="shared" si="10"/>
        <v>2400</v>
      </c>
      <c r="W28" s="355">
        <f t="shared" si="10"/>
        <v>2400</v>
      </c>
      <c r="X28" s="355">
        <f t="shared" si="10"/>
        <v>1200</v>
      </c>
      <c r="Y28" s="556">
        <f t="shared" si="10"/>
        <v>2400</v>
      </c>
      <c r="Z28" s="556">
        <f t="shared" si="10"/>
        <v>2400</v>
      </c>
      <c r="AA28" s="556">
        <f t="shared" si="10"/>
        <v>1200</v>
      </c>
      <c r="AB28" s="355">
        <f t="shared" si="10"/>
        <v>2400</v>
      </c>
      <c r="AC28" s="355">
        <f t="shared" si="10"/>
        <v>2400</v>
      </c>
      <c r="AD28" s="355">
        <f t="shared" si="10"/>
        <v>1200</v>
      </c>
    </row>
    <row r="29" spans="1:30" x14ac:dyDescent="0.35">
      <c r="A29" s="1601"/>
      <c r="B29" s="168" t="s">
        <v>146</v>
      </c>
      <c r="C29" s="488">
        <v>0</v>
      </c>
      <c r="D29" s="694">
        <v>0</v>
      </c>
      <c r="E29" s="172">
        <f>+E24-E26</f>
        <v>4200</v>
      </c>
      <c r="F29" s="257"/>
      <c r="G29" s="257"/>
      <c r="H29" s="257"/>
      <c r="I29" s="172">
        <f t="shared" ref="I29:N29" si="11">+I24-I26</f>
        <v>4200</v>
      </c>
      <c r="J29" s="172">
        <f t="shared" si="11"/>
        <v>0</v>
      </c>
      <c r="K29" s="172">
        <f t="shared" si="11"/>
        <v>3500</v>
      </c>
      <c r="L29" s="913">
        <f t="shared" si="11"/>
        <v>0</v>
      </c>
      <c r="M29" s="119">
        <f t="shared" si="11"/>
        <v>0</v>
      </c>
      <c r="N29" s="517">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599" t="s">
        <v>126</v>
      </c>
      <c r="B31" s="174" t="s">
        <v>402</v>
      </c>
      <c r="C31" s="374">
        <v>0.1</v>
      </c>
      <c r="D31" s="374">
        <v>0.1</v>
      </c>
      <c r="E31" s="356">
        <v>0.1</v>
      </c>
      <c r="I31" s="356">
        <v>0.1</v>
      </c>
      <c r="J31" s="356">
        <v>0.1</v>
      </c>
      <c r="K31" s="356"/>
      <c r="L31" s="918">
        <v>0.1</v>
      </c>
      <c r="M31" s="550">
        <v>0.1</v>
      </c>
      <c r="N31" s="533">
        <v>0.1</v>
      </c>
      <c r="O31" s="154"/>
      <c r="P31" s="154"/>
      <c r="Q31" s="154"/>
      <c r="R31" s="154"/>
      <c r="S31" s="550">
        <v>0.1</v>
      </c>
      <c r="T31" s="550">
        <v>0.1</v>
      </c>
      <c r="U31" s="550">
        <v>0.1</v>
      </c>
      <c r="V31" s="356">
        <v>0.1</v>
      </c>
      <c r="W31" s="356">
        <v>0.1</v>
      </c>
      <c r="X31" s="356">
        <v>0.1</v>
      </c>
      <c r="Y31" s="550">
        <v>0.1</v>
      </c>
      <c r="Z31" s="550">
        <v>0.1</v>
      </c>
      <c r="AA31" s="550">
        <v>0.1</v>
      </c>
      <c r="AB31" s="356">
        <v>0.1</v>
      </c>
      <c r="AC31" s="356">
        <v>0.1</v>
      </c>
      <c r="AD31" s="356">
        <v>0.1</v>
      </c>
    </row>
    <row r="32" spans="1:30" x14ac:dyDescent="0.35">
      <c r="A32" s="1600"/>
      <c r="B32" s="153" t="s">
        <v>150</v>
      </c>
      <c r="C32" s="143">
        <f>+C20</f>
        <v>62748</v>
      </c>
      <c r="D32" s="143">
        <f>+D20</f>
        <v>31375</v>
      </c>
      <c r="E32" s="375">
        <f>+E20</f>
        <v>70066</v>
      </c>
      <c r="I32" s="375">
        <f>+I20</f>
        <v>72075</v>
      </c>
      <c r="J32" s="375">
        <f>+J20</f>
        <v>11581.833333333334</v>
      </c>
      <c r="K32" s="375">
        <f>ROUND((I32/12*10)+J32,0)</f>
        <v>71644</v>
      </c>
      <c r="L32" s="919">
        <f>+L20</f>
        <v>69491</v>
      </c>
      <c r="M32" s="363">
        <f>+M20</f>
        <v>73672</v>
      </c>
      <c r="N32" s="700">
        <f>+N20</f>
        <v>76620</v>
      </c>
      <c r="O32" s="154"/>
      <c r="P32" s="154"/>
      <c r="Q32" s="154"/>
      <c r="R32" s="154"/>
      <c r="S32" s="363">
        <f t="shared" ref="S32:AD32" si="13">+S20</f>
        <v>84567</v>
      </c>
      <c r="T32" s="363">
        <f t="shared" si="13"/>
        <v>81414</v>
      </c>
      <c r="U32" s="363">
        <f t="shared" si="13"/>
        <v>40707</v>
      </c>
      <c r="V32" s="375">
        <f t="shared" si="13"/>
        <v>85333</v>
      </c>
      <c r="W32" s="375">
        <f t="shared" si="13"/>
        <v>82151</v>
      </c>
      <c r="X32" s="375">
        <f t="shared" si="13"/>
        <v>41075.5</v>
      </c>
      <c r="Y32" s="363">
        <f t="shared" si="13"/>
        <v>86100</v>
      </c>
      <c r="Z32" s="363">
        <f t="shared" si="13"/>
        <v>82887</v>
      </c>
      <c r="AA32" s="363">
        <f t="shared" si="13"/>
        <v>41443.5</v>
      </c>
      <c r="AB32" s="375">
        <f t="shared" si="13"/>
        <v>86866</v>
      </c>
      <c r="AC32" s="375">
        <f t="shared" si="13"/>
        <v>83625</v>
      </c>
      <c r="AD32" s="375">
        <f t="shared" si="13"/>
        <v>41812</v>
      </c>
    </row>
    <row r="33" spans="1:30" x14ac:dyDescent="0.35">
      <c r="A33" s="1600"/>
      <c r="B33" s="153" t="s">
        <v>126</v>
      </c>
      <c r="C33" s="143">
        <f>ROUND(+C32*C31,0)</f>
        <v>6275</v>
      </c>
      <c r="D33" s="143">
        <f>ROUND(+D32*D31,0)</f>
        <v>3138</v>
      </c>
      <c r="E33" s="375">
        <f>ROUND(+E32*E31,0)</f>
        <v>7007</v>
      </c>
      <c r="I33" s="375">
        <f>ROUND(+I32*I31,0)</f>
        <v>7208</v>
      </c>
      <c r="J33" s="375">
        <f>ROUND(+J32*J31,0)</f>
        <v>1158</v>
      </c>
      <c r="K33" s="375">
        <f>ROUND((I33/12*10)+J33,0)</f>
        <v>7165</v>
      </c>
      <c r="L33" s="919">
        <f>ROUND(+L32*L31,0)</f>
        <v>6949</v>
      </c>
      <c r="M33" s="363">
        <f>ROUND(+M32*M31,0)</f>
        <v>7367</v>
      </c>
      <c r="N33" s="700">
        <f>ROUND(+N32*N31,0)</f>
        <v>7662</v>
      </c>
      <c r="S33" s="363">
        <f t="shared" ref="S33:AD33" si="14">ROUND(+S32*S31,0)</f>
        <v>8457</v>
      </c>
      <c r="T33" s="363">
        <f t="shared" si="14"/>
        <v>8141</v>
      </c>
      <c r="U33" s="363">
        <f t="shared" si="14"/>
        <v>4071</v>
      </c>
      <c r="V33" s="375">
        <f t="shared" si="14"/>
        <v>8533</v>
      </c>
      <c r="W33" s="375">
        <f t="shared" si="14"/>
        <v>8215</v>
      </c>
      <c r="X33" s="375">
        <f t="shared" si="14"/>
        <v>4108</v>
      </c>
      <c r="Y33" s="363">
        <f t="shared" si="14"/>
        <v>8610</v>
      </c>
      <c r="Z33" s="363">
        <f t="shared" si="14"/>
        <v>8289</v>
      </c>
      <c r="AA33" s="363">
        <f t="shared" si="14"/>
        <v>4144</v>
      </c>
      <c r="AB33" s="375">
        <f t="shared" si="14"/>
        <v>8687</v>
      </c>
      <c r="AC33" s="375">
        <f t="shared" si="14"/>
        <v>8363</v>
      </c>
      <c r="AD33" s="375">
        <f t="shared" si="14"/>
        <v>4181</v>
      </c>
    </row>
    <row r="34" spans="1:30" x14ac:dyDescent="0.35">
      <c r="A34" s="1600"/>
      <c r="B34" s="153" t="s">
        <v>148</v>
      </c>
      <c r="C34" s="143">
        <f>+C29</f>
        <v>0</v>
      </c>
      <c r="D34" s="143">
        <f>+D29</f>
        <v>0</v>
      </c>
      <c r="E34" s="375">
        <f>+E29</f>
        <v>4200</v>
      </c>
      <c r="I34" s="375">
        <f>+I29</f>
        <v>4200</v>
      </c>
      <c r="J34" s="375">
        <f>+J29</f>
        <v>0</v>
      </c>
      <c r="K34" s="375">
        <f>ROUND((I34/12*10)+J34,0)</f>
        <v>3500</v>
      </c>
      <c r="L34" s="919">
        <f>+L29</f>
        <v>0</v>
      </c>
      <c r="M34" s="363">
        <f>+M29</f>
        <v>0</v>
      </c>
      <c r="N34" s="700">
        <f>+N29</f>
        <v>0</v>
      </c>
      <c r="S34" s="363">
        <f t="shared" ref="S34:AD34" si="15">+S29</f>
        <v>4200</v>
      </c>
      <c r="T34" s="363">
        <f t="shared" si="15"/>
        <v>4200</v>
      </c>
      <c r="U34" s="363">
        <f t="shared" si="15"/>
        <v>2100</v>
      </c>
      <c r="V34" s="375">
        <f t="shared" si="15"/>
        <v>4200</v>
      </c>
      <c r="W34" s="375">
        <f t="shared" si="15"/>
        <v>4200</v>
      </c>
      <c r="X34" s="375">
        <f t="shared" si="15"/>
        <v>2100</v>
      </c>
      <c r="Y34" s="363">
        <f t="shared" si="15"/>
        <v>4200</v>
      </c>
      <c r="Z34" s="363">
        <f t="shared" si="15"/>
        <v>4200</v>
      </c>
      <c r="AA34" s="363">
        <f t="shared" si="15"/>
        <v>2100</v>
      </c>
      <c r="AB34" s="375">
        <f t="shared" si="15"/>
        <v>4200</v>
      </c>
      <c r="AC34" s="375">
        <f t="shared" si="15"/>
        <v>4200</v>
      </c>
      <c r="AD34" s="375">
        <f t="shared" si="15"/>
        <v>2100</v>
      </c>
    </row>
    <row r="35" spans="1:30" x14ac:dyDescent="0.35">
      <c r="A35" s="1600"/>
      <c r="B35" s="153" t="s">
        <v>239</v>
      </c>
      <c r="C35" s="143"/>
      <c r="D35" s="143"/>
      <c r="E35" s="375">
        <f>+E34+E33</f>
        <v>11207</v>
      </c>
      <c r="I35" s="375">
        <f t="shared" ref="I35:N35" si="16">+I34+I33</f>
        <v>11408</v>
      </c>
      <c r="J35" s="375">
        <f t="shared" si="16"/>
        <v>1158</v>
      </c>
      <c r="K35" s="375">
        <f t="shared" si="16"/>
        <v>10665</v>
      </c>
      <c r="L35" s="919">
        <f t="shared" si="16"/>
        <v>6949</v>
      </c>
      <c r="M35" s="363">
        <f t="shared" si="16"/>
        <v>7367</v>
      </c>
      <c r="N35" s="700">
        <f t="shared" si="16"/>
        <v>7662</v>
      </c>
      <c r="S35" s="363">
        <f t="shared" ref="S35:AD35" si="17">+S34+S33</f>
        <v>12657</v>
      </c>
      <c r="T35" s="363">
        <f t="shared" si="17"/>
        <v>12341</v>
      </c>
      <c r="U35" s="363">
        <f t="shared" si="17"/>
        <v>6171</v>
      </c>
      <c r="V35" s="375">
        <f t="shared" si="17"/>
        <v>12733</v>
      </c>
      <c r="W35" s="375">
        <f t="shared" si="17"/>
        <v>12415</v>
      </c>
      <c r="X35" s="375">
        <f t="shared" si="17"/>
        <v>6208</v>
      </c>
      <c r="Y35" s="363">
        <f t="shared" si="17"/>
        <v>12810</v>
      </c>
      <c r="Z35" s="363">
        <f t="shared" si="17"/>
        <v>12489</v>
      </c>
      <c r="AA35" s="363">
        <f t="shared" si="17"/>
        <v>6244</v>
      </c>
      <c r="AB35" s="375">
        <f t="shared" si="17"/>
        <v>12887</v>
      </c>
      <c r="AC35" s="375">
        <f t="shared" si="17"/>
        <v>12563</v>
      </c>
      <c r="AD35" s="375">
        <f t="shared" si="17"/>
        <v>6281</v>
      </c>
    </row>
    <row r="36" spans="1:30" x14ac:dyDescent="0.35">
      <c r="A36" s="1600"/>
      <c r="B36" s="153" t="s">
        <v>152</v>
      </c>
      <c r="C36" s="751">
        <f>+C38/C32</f>
        <v>0.10000318735258494</v>
      </c>
      <c r="D36" s="751">
        <f>+D38/D32</f>
        <v>0.10001593625498008</v>
      </c>
      <c r="E36" s="547">
        <f>+E35/E20</f>
        <v>0.15994919076299488</v>
      </c>
      <c r="I36" s="547">
        <f>+I35/I20</f>
        <v>0.15827956989247313</v>
      </c>
      <c r="J36" s="547">
        <f>+J35/J20</f>
        <v>9.9984170612021694E-2</v>
      </c>
      <c r="K36" s="547">
        <f>+K35/K20</f>
        <v>0.14886103511808385</v>
      </c>
      <c r="L36" s="920">
        <f>IF(L20=0,0,+L35/L20)</f>
        <v>9.9998560964729241E-2</v>
      </c>
      <c r="M36" s="381">
        <f>IF(M20=0,0,+M35/M20)</f>
        <v>9.9997285264415245E-2</v>
      </c>
      <c r="N36" s="512">
        <f>+N35/N20</f>
        <v>0.1</v>
      </c>
      <c r="S36" s="381">
        <f t="shared" ref="S36:AD36" si="18">+S35/S20</f>
        <v>0.14966831033381817</v>
      </c>
      <c r="T36" s="381">
        <f t="shared" si="18"/>
        <v>0.15158326577738473</v>
      </c>
      <c r="U36" s="381">
        <f t="shared" si="18"/>
        <v>0.15159554867713171</v>
      </c>
      <c r="V36" s="547">
        <f t="shared" si="18"/>
        <v>0.14921542662276024</v>
      </c>
      <c r="W36" s="547">
        <f t="shared" si="18"/>
        <v>0.15112414943214325</v>
      </c>
      <c r="X36" s="547">
        <f t="shared" si="18"/>
        <v>0.15113632213850106</v>
      </c>
      <c r="Y36" s="381">
        <f t="shared" si="18"/>
        <v>0.14878048780487804</v>
      </c>
      <c r="Z36" s="381">
        <f t="shared" si="18"/>
        <v>0.15067501538238806</v>
      </c>
      <c r="AA36" s="381">
        <f t="shared" si="18"/>
        <v>0.15066295076429356</v>
      </c>
      <c r="AB36" s="547">
        <f t="shared" si="18"/>
        <v>0.14835493748992701</v>
      </c>
      <c r="AC36" s="547">
        <f t="shared" si="18"/>
        <v>0.15023019431988041</v>
      </c>
      <c r="AD36" s="547">
        <f t="shared" si="18"/>
        <v>0.15022003252654739</v>
      </c>
    </row>
    <row r="37" spans="1:30" x14ac:dyDescent="0.35">
      <c r="A37" s="1600"/>
      <c r="B37" s="153" t="s">
        <v>238</v>
      </c>
      <c r="C37" s="143"/>
      <c r="D37" s="143"/>
      <c r="E37" s="548">
        <v>0.16</v>
      </c>
      <c r="I37" s="548">
        <v>0.16</v>
      </c>
      <c r="J37" s="548">
        <v>0.1</v>
      </c>
      <c r="K37" s="548"/>
      <c r="L37" s="921">
        <v>0.1</v>
      </c>
      <c r="M37" s="553">
        <v>0.1</v>
      </c>
      <c r="N37" s="513">
        <v>0.1</v>
      </c>
      <c r="S37" s="553">
        <v>0.155</v>
      </c>
      <c r="T37" s="553">
        <v>0.155</v>
      </c>
      <c r="U37" s="553">
        <v>0.155</v>
      </c>
      <c r="V37" s="548">
        <v>0.15</v>
      </c>
      <c r="W37" s="548">
        <v>0.155</v>
      </c>
      <c r="X37" s="548">
        <v>0.155</v>
      </c>
      <c r="Y37" s="553">
        <v>0.15</v>
      </c>
      <c r="Z37" s="553">
        <v>0.155</v>
      </c>
      <c r="AA37" s="553">
        <v>0.155</v>
      </c>
      <c r="AB37" s="548">
        <v>0.15</v>
      </c>
      <c r="AC37" s="548">
        <v>0.155</v>
      </c>
      <c r="AD37" s="548">
        <v>0.155</v>
      </c>
    </row>
    <row r="38" spans="1:30" x14ac:dyDescent="0.35">
      <c r="A38" s="1601"/>
      <c r="B38" s="168" t="s">
        <v>149</v>
      </c>
      <c r="C38" s="172">
        <f>+C33+C34</f>
        <v>6275</v>
      </c>
      <c r="D38" s="172">
        <f>+D33+D34</f>
        <v>3138</v>
      </c>
      <c r="E38" s="352">
        <f>ROUND(+E37*E20,0)</f>
        <v>11211</v>
      </c>
      <c r="I38" s="352">
        <f>ROUND(+I37*I20,0)</f>
        <v>11532</v>
      </c>
      <c r="J38" s="352">
        <f>ROUND(+J37*J20,0)</f>
        <v>1158</v>
      </c>
      <c r="K38" s="352">
        <f>+K35</f>
        <v>10665</v>
      </c>
      <c r="L38" s="922">
        <f>ROUND(+L37*L20,0)</f>
        <v>6949</v>
      </c>
      <c r="M38" s="193">
        <f>ROUND(+M37*M20,0)</f>
        <v>7367</v>
      </c>
      <c r="N38" s="543">
        <f>ROUND(+N37*N20,0)</f>
        <v>7662</v>
      </c>
      <c r="P38" s="116"/>
      <c r="S38" s="193">
        <f t="shared" ref="S38:AD38" si="19">ROUND(+S37*S20,0)</f>
        <v>13108</v>
      </c>
      <c r="T38" s="193">
        <f t="shared" si="19"/>
        <v>12619</v>
      </c>
      <c r="U38" s="193">
        <f t="shared" si="19"/>
        <v>6310</v>
      </c>
      <c r="V38" s="352">
        <f t="shared" si="19"/>
        <v>12800</v>
      </c>
      <c r="W38" s="352">
        <f t="shared" si="19"/>
        <v>12733</v>
      </c>
      <c r="X38" s="352">
        <f t="shared" si="19"/>
        <v>6367</v>
      </c>
      <c r="Y38" s="193">
        <f t="shared" si="19"/>
        <v>12915</v>
      </c>
      <c r="Z38" s="193">
        <f t="shared" si="19"/>
        <v>12847</v>
      </c>
      <c r="AA38" s="193">
        <f t="shared" si="19"/>
        <v>6424</v>
      </c>
      <c r="AB38" s="352">
        <f t="shared" si="19"/>
        <v>13030</v>
      </c>
      <c r="AC38" s="352">
        <f t="shared" si="19"/>
        <v>12962</v>
      </c>
      <c r="AD38" s="352">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599" t="s">
        <v>127</v>
      </c>
      <c r="B40" s="139" t="s">
        <v>403</v>
      </c>
      <c r="C40" s="374">
        <v>1.4999999999999999E-2</v>
      </c>
      <c r="D40" s="374">
        <v>1.4999999999999999E-2</v>
      </c>
      <c r="E40" s="374">
        <v>1.4999999999999999E-2</v>
      </c>
      <c r="I40" s="374">
        <v>1.4999999999999999E-2</v>
      </c>
      <c r="J40" s="374">
        <v>1.4999999999999999E-2</v>
      </c>
      <c r="K40" s="374">
        <v>1.4999999999999999E-2</v>
      </c>
      <c r="L40" s="923">
        <v>1.4999999999999999E-2</v>
      </c>
      <c r="M40" s="360">
        <v>1.4999999999999999E-2</v>
      </c>
      <c r="N40" s="744">
        <v>1.4999999999999999E-2</v>
      </c>
      <c r="S40" s="360">
        <v>1.4999999999999999E-2</v>
      </c>
      <c r="T40" s="360">
        <v>1.4999999999999999E-2</v>
      </c>
      <c r="U40" s="360">
        <v>1.4999999999999999E-2</v>
      </c>
      <c r="V40" s="374">
        <v>1.4999999999999999E-2</v>
      </c>
      <c r="W40" s="374">
        <v>1.4999999999999999E-2</v>
      </c>
      <c r="X40" s="374">
        <v>1.4999999999999999E-2</v>
      </c>
      <c r="Y40" s="360">
        <v>1.4999999999999999E-2</v>
      </c>
      <c r="Z40" s="360">
        <v>1.4999999999999999E-2</v>
      </c>
      <c r="AA40" s="360">
        <v>1.4999999999999999E-2</v>
      </c>
      <c r="AB40" s="374">
        <v>1.4999999999999999E-2</v>
      </c>
      <c r="AC40" s="374">
        <v>1.4999999999999999E-2</v>
      </c>
      <c r="AD40" s="374">
        <v>1.4999999999999999E-2</v>
      </c>
    </row>
    <row r="41" spans="1:30" x14ac:dyDescent="0.35">
      <c r="A41" s="1600"/>
      <c r="B41" s="153" t="s">
        <v>404</v>
      </c>
      <c r="C41" s="357">
        <v>7.0000000000000001E-3</v>
      </c>
      <c r="D41" s="357">
        <v>7.0000000000000001E-3</v>
      </c>
      <c r="E41" s="357">
        <v>7.0000000000000001E-3</v>
      </c>
      <c r="I41" s="357">
        <v>7.0000000000000001E-3</v>
      </c>
      <c r="J41" s="357">
        <v>7.0000000000000001E-3</v>
      </c>
      <c r="K41" s="357">
        <v>7.0000000000000001E-3</v>
      </c>
      <c r="L41" s="908">
        <v>7.0000000000000001E-3</v>
      </c>
      <c r="M41" s="361">
        <v>7.0000000000000001E-3</v>
      </c>
      <c r="N41" s="539">
        <v>7.0000000000000001E-3</v>
      </c>
      <c r="P41" s="116"/>
      <c r="S41" s="361">
        <v>7.0000000000000001E-3</v>
      </c>
      <c r="T41" s="361">
        <v>7.0000000000000001E-3</v>
      </c>
      <c r="U41" s="361">
        <v>7.0000000000000001E-3</v>
      </c>
      <c r="V41" s="357">
        <v>7.0000000000000001E-3</v>
      </c>
      <c r="W41" s="357">
        <v>7.0000000000000001E-3</v>
      </c>
      <c r="X41" s="357">
        <v>7.0000000000000001E-3</v>
      </c>
      <c r="Y41" s="361">
        <v>7.0000000000000001E-3</v>
      </c>
      <c r="Z41" s="361">
        <v>7.0000000000000001E-3</v>
      </c>
      <c r="AA41" s="361">
        <v>7.0000000000000001E-3</v>
      </c>
      <c r="AB41" s="357">
        <v>7.0000000000000001E-3</v>
      </c>
      <c r="AC41" s="357">
        <v>7.0000000000000001E-3</v>
      </c>
      <c r="AD41" s="357">
        <v>7.0000000000000001E-3</v>
      </c>
    </row>
    <row r="42" spans="1:30" hidden="1" x14ac:dyDescent="0.35">
      <c r="A42" s="1600"/>
      <c r="B42" s="153" t="s">
        <v>232</v>
      </c>
      <c r="C42" s="357">
        <v>7.0000000000000001E-3</v>
      </c>
      <c r="D42" s="357">
        <v>7.0000000000000001E-3</v>
      </c>
      <c r="E42" s="357">
        <v>0</v>
      </c>
      <c r="F42" s="1628" t="s">
        <v>263</v>
      </c>
      <c r="G42" s="1629"/>
      <c r="H42" s="1630"/>
      <c r="I42" s="357">
        <v>0</v>
      </c>
      <c r="J42" s="357">
        <v>0</v>
      </c>
      <c r="K42" s="357">
        <v>0</v>
      </c>
      <c r="L42" s="908">
        <v>0</v>
      </c>
      <c r="M42" s="361">
        <v>0</v>
      </c>
      <c r="N42" s="539">
        <v>0</v>
      </c>
      <c r="S42" s="361">
        <v>0</v>
      </c>
      <c r="T42" s="361">
        <v>0</v>
      </c>
      <c r="U42" s="361">
        <v>0</v>
      </c>
      <c r="V42" s="357">
        <v>0</v>
      </c>
      <c r="W42" s="357">
        <v>0</v>
      </c>
      <c r="X42" s="357">
        <v>0</v>
      </c>
      <c r="Y42" s="361">
        <v>0</v>
      </c>
      <c r="Z42" s="361">
        <v>0</v>
      </c>
      <c r="AA42" s="361">
        <v>0</v>
      </c>
      <c r="AB42" s="357">
        <v>0</v>
      </c>
      <c r="AC42" s="357">
        <v>0</v>
      </c>
      <c r="AD42" s="357">
        <v>0</v>
      </c>
    </row>
    <row r="43" spans="1:30" x14ac:dyDescent="0.35">
      <c r="A43" s="1600"/>
      <c r="B43" s="153" t="s">
        <v>405</v>
      </c>
      <c r="C43" s="358">
        <f>+C40+C41+C42</f>
        <v>2.8999999999999998E-2</v>
      </c>
      <c r="D43" s="358">
        <f>+D40+D41+D42</f>
        <v>2.8999999999999998E-2</v>
      </c>
      <c r="E43" s="358">
        <f>+E40+E41+E42</f>
        <v>2.1999999999999999E-2</v>
      </c>
      <c r="I43" s="358">
        <f t="shared" ref="I43:N43" si="20">+I40+I41+I42</f>
        <v>2.1999999999999999E-2</v>
      </c>
      <c r="J43" s="358">
        <f t="shared" si="20"/>
        <v>2.1999999999999999E-2</v>
      </c>
      <c r="K43" s="358">
        <f t="shared" si="20"/>
        <v>2.1999999999999999E-2</v>
      </c>
      <c r="L43" s="924">
        <f t="shared" si="20"/>
        <v>2.1999999999999999E-2</v>
      </c>
      <c r="M43" s="362">
        <f t="shared" si="20"/>
        <v>2.1999999999999999E-2</v>
      </c>
      <c r="N43" s="540">
        <f t="shared" si="20"/>
        <v>2.1999999999999999E-2</v>
      </c>
      <c r="S43" s="362">
        <f t="shared" ref="S43:AD43" si="21">+S40+S41+S42</f>
        <v>2.1999999999999999E-2</v>
      </c>
      <c r="T43" s="362">
        <f t="shared" si="21"/>
        <v>2.1999999999999999E-2</v>
      </c>
      <c r="U43" s="362">
        <f t="shared" si="21"/>
        <v>2.1999999999999999E-2</v>
      </c>
      <c r="V43" s="358">
        <f t="shared" si="21"/>
        <v>2.1999999999999999E-2</v>
      </c>
      <c r="W43" s="358">
        <f t="shared" si="21"/>
        <v>2.1999999999999999E-2</v>
      </c>
      <c r="X43" s="358">
        <f t="shared" si="21"/>
        <v>2.1999999999999999E-2</v>
      </c>
      <c r="Y43" s="362">
        <f t="shared" si="21"/>
        <v>2.1999999999999999E-2</v>
      </c>
      <c r="Z43" s="362">
        <f t="shared" si="21"/>
        <v>2.1999999999999999E-2</v>
      </c>
      <c r="AA43" s="362">
        <f t="shared" si="21"/>
        <v>2.1999999999999999E-2</v>
      </c>
      <c r="AB43" s="358">
        <f t="shared" si="21"/>
        <v>2.1999999999999999E-2</v>
      </c>
      <c r="AC43" s="358">
        <f t="shared" si="21"/>
        <v>2.1999999999999999E-2</v>
      </c>
      <c r="AD43" s="358">
        <f t="shared" si="21"/>
        <v>2.1999999999999999E-2</v>
      </c>
    </row>
    <row r="44" spans="1:30" x14ac:dyDescent="0.35">
      <c r="A44" s="1600"/>
      <c r="B44" s="153" t="s">
        <v>150</v>
      </c>
      <c r="C44" s="143">
        <f>+C20</f>
        <v>62748</v>
      </c>
      <c r="D44" s="143">
        <f>+D20</f>
        <v>31375</v>
      </c>
      <c r="E44" s="143">
        <f>+E20</f>
        <v>70066</v>
      </c>
      <c r="I44" s="143">
        <f t="shared" ref="I44:N44" si="22">+I20</f>
        <v>72075</v>
      </c>
      <c r="J44" s="143">
        <f t="shared" si="22"/>
        <v>11581.833333333334</v>
      </c>
      <c r="K44" s="143">
        <f t="shared" si="22"/>
        <v>71644</v>
      </c>
      <c r="L44" s="925">
        <f t="shared" si="22"/>
        <v>69491</v>
      </c>
      <c r="M44" s="112">
        <f t="shared" si="22"/>
        <v>73672</v>
      </c>
      <c r="N44" s="506">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601"/>
      <c r="B45" s="129" t="s">
        <v>153</v>
      </c>
      <c r="C45" s="172">
        <f>ROUND(+C44*C43,0)</f>
        <v>1820</v>
      </c>
      <c r="D45" s="172">
        <f>ROUND(+D44*D43,0)</f>
        <v>910</v>
      </c>
      <c r="E45" s="489">
        <f>ROUND(+E44*E43,0)</f>
        <v>1541</v>
      </c>
      <c r="I45" s="172">
        <f t="shared" ref="I45:N45" si="24">ROUND(+I44*I43,0)</f>
        <v>1586</v>
      </c>
      <c r="J45" s="172">
        <f t="shared" si="24"/>
        <v>255</v>
      </c>
      <c r="K45" s="172">
        <f t="shared" si="24"/>
        <v>1576</v>
      </c>
      <c r="L45" s="913">
        <f t="shared" si="24"/>
        <v>1529</v>
      </c>
      <c r="M45" s="119">
        <f t="shared" si="24"/>
        <v>1621</v>
      </c>
      <c r="N45" s="517">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599" t="s">
        <v>98</v>
      </c>
      <c r="B47" s="121" t="s">
        <v>158</v>
      </c>
      <c r="C47" s="493">
        <v>1200</v>
      </c>
      <c r="D47" s="695">
        <f>ROUND(C47*D$9,0)</f>
        <v>600</v>
      </c>
      <c r="E47" s="493">
        <v>1200</v>
      </c>
      <c r="I47" s="493">
        <v>1200</v>
      </c>
      <c r="J47" s="695">
        <f>+I47/12*2</f>
        <v>200</v>
      </c>
      <c r="K47" s="695">
        <f>ROUND((I47/12*10)+J47,0)</f>
        <v>1200</v>
      </c>
      <c r="L47" s="926">
        <v>1200</v>
      </c>
      <c r="M47" s="697">
        <v>1200</v>
      </c>
      <c r="N47" s="745">
        <v>1200</v>
      </c>
      <c r="S47" s="697">
        <v>1200</v>
      </c>
      <c r="T47" s="697">
        <v>1200</v>
      </c>
      <c r="U47" s="697">
        <v>600</v>
      </c>
      <c r="V47" s="493">
        <v>1200</v>
      </c>
      <c r="W47" s="493">
        <v>1200</v>
      </c>
      <c r="X47" s="493">
        <v>600</v>
      </c>
      <c r="Y47" s="697">
        <v>1200</v>
      </c>
      <c r="Z47" s="697">
        <v>1200</v>
      </c>
      <c r="AA47" s="697">
        <v>600</v>
      </c>
      <c r="AB47" s="493">
        <v>1200</v>
      </c>
      <c r="AC47" s="493">
        <v>1200</v>
      </c>
      <c r="AD47" s="493">
        <v>600</v>
      </c>
    </row>
    <row r="48" spans="1:30" x14ac:dyDescent="0.35">
      <c r="A48" s="1600"/>
      <c r="B48" s="123" t="s">
        <v>372</v>
      </c>
      <c r="C48" s="351">
        <v>750</v>
      </c>
      <c r="D48" s="375">
        <f>ROUND(C48*D$9,0)</f>
        <v>375</v>
      </c>
      <c r="E48" s="351">
        <v>1300</v>
      </c>
      <c r="I48" s="351">
        <v>1300</v>
      </c>
      <c r="J48" s="375">
        <f>+I48/12*2</f>
        <v>216.66666666666666</v>
      </c>
      <c r="K48" s="375">
        <f>ROUND((I48/12*10)+J48,0)</f>
        <v>1300</v>
      </c>
      <c r="L48" s="927">
        <v>1300</v>
      </c>
      <c r="M48" s="192">
        <v>1300</v>
      </c>
      <c r="N48" s="541">
        <v>1300</v>
      </c>
      <c r="S48" s="192">
        <v>1300</v>
      </c>
      <c r="T48" s="192">
        <v>1300</v>
      </c>
      <c r="U48" s="192">
        <f>+S48/2</f>
        <v>650</v>
      </c>
      <c r="V48" s="351">
        <v>1300</v>
      </c>
      <c r="W48" s="351">
        <v>1300</v>
      </c>
      <c r="X48" s="351">
        <f>+V48/2</f>
        <v>650</v>
      </c>
      <c r="Y48" s="192">
        <v>1300</v>
      </c>
      <c r="Z48" s="192">
        <v>1300</v>
      </c>
      <c r="AA48" s="192">
        <f>+Y48/2</f>
        <v>650</v>
      </c>
      <c r="AB48" s="351">
        <v>1300</v>
      </c>
      <c r="AC48" s="351">
        <v>1300</v>
      </c>
      <c r="AD48" s="351">
        <f>+AB48/2</f>
        <v>650</v>
      </c>
    </row>
    <row r="49" spans="1:30" x14ac:dyDescent="0.35">
      <c r="A49" s="1600"/>
      <c r="B49" s="123" t="s">
        <v>376</v>
      </c>
      <c r="C49" s="351"/>
      <c r="D49" s="375"/>
      <c r="E49" s="351"/>
      <c r="I49" s="351"/>
      <c r="J49" s="375"/>
      <c r="K49" s="351"/>
      <c r="L49" s="927"/>
      <c r="M49" s="192"/>
      <c r="N49" s="541"/>
      <c r="S49" s="192"/>
      <c r="T49" s="192"/>
      <c r="U49" s="192"/>
      <c r="V49" s="351"/>
      <c r="W49" s="351"/>
      <c r="X49" s="351"/>
      <c r="Y49" s="192"/>
      <c r="Z49" s="192"/>
      <c r="AA49" s="192"/>
      <c r="AB49" s="351"/>
      <c r="AC49" s="351"/>
      <c r="AD49" s="351"/>
    </row>
    <row r="50" spans="1:30" x14ac:dyDescent="0.35">
      <c r="A50" s="1600"/>
      <c r="B50" s="123" t="s">
        <v>419</v>
      </c>
      <c r="C50" s="351"/>
      <c r="D50" s="375"/>
      <c r="E50" s="351"/>
      <c r="I50" s="351"/>
      <c r="J50" s="375"/>
      <c r="K50" s="351"/>
      <c r="L50" s="927"/>
      <c r="M50" s="192"/>
      <c r="N50" s="541"/>
      <c r="S50" s="192"/>
      <c r="T50" s="192"/>
      <c r="U50" s="192"/>
      <c r="V50" s="351"/>
      <c r="W50" s="351"/>
      <c r="X50" s="351"/>
      <c r="Y50" s="192"/>
      <c r="Z50" s="192"/>
      <c r="AA50" s="192"/>
      <c r="AB50" s="351"/>
      <c r="AC50" s="351"/>
      <c r="AD50" s="351"/>
    </row>
    <row r="51" spans="1:30" x14ac:dyDescent="0.35">
      <c r="A51" s="1600"/>
      <c r="B51" s="123" t="s">
        <v>98</v>
      </c>
      <c r="C51" s="351">
        <v>600</v>
      </c>
      <c r="D51" s="375">
        <f>ROUND(C51*D$9,0)</f>
        <v>300</v>
      </c>
      <c r="E51" s="351">
        <v>600</v>
      </c>
      <c r="I51" s="351">
        <v>600</v>
      </c>
      <c r="J51" s="375">
        <f>+I51/12*2</f>
        <v>100</v>
      </c>
      <c r="K51" s="375">
        <f>ROUND((I51/12*10)+J51,0)</f>
        <v>600</v>
      </c>
      <c r="L51" s="927">
        <v>600</v>
      </c>
      <c r="M51" s="192">
        <v>600</v>
      </c>
      <c r="N51" s="541">
        <v>600</v>
      </c>
      <c r="S51" s="192">
        <v>600</v>
      </c>
      <c r="T51" s="192">
        <v>600</v>
      </c>
      <c r="U51" s="192">
        <v>300</v>
      </c>
      <c r="V51" s="351">
        <v>600</v>
      </c>
      <c r="W51" s="351">
        <v>600</v>
      </c>
      <c r="X51" s="351">
        <v>300</v>
      </c>
      <c r="Y51" s="192">
        <v>600</v>
      </c>
      <c r="Z51" s="192">
        <v>600</v>
      </c>
      <c r="AA51" s="192">
        <v>300</v>
      </c>
      <c r="AB51" s="351">
        <v>600</v>
      </c>
      <c r="AC51" s="351">
        <v>600</v>
      </c>
      <c r="AD51" s="351">
        <v>300</v>
      </c>
    </row>
    <row r="52" spans="1:30" x14ac:dyDescent="0.35">
      <c r="A52" s="1600"/>
      <c r="B52" s="153" t="s">
        <v>168</v>
      </c>
      <c r="C52" s="351">
        <v>480</v>
      </c>
      <c r="D52" s="375">
        <f>ROUND(C52*D$9,0)</f>
        <v>240</v>
      </c>
      <c r="E52" s="351">
        <v>480</v>
      </c>
      <c r="F52" s="257"/>
      <c r="G52" s="257"/>
      <c r="H52" s="257"/>
      <c r="I52" s="351">
        <v>480</v>
      </c>
      <c r="J52" s="375">
        <f>+I52/12*2</f>
        <v>80</v>
      </c>
      <c r="K52" s="375">
        <f>ROUND((I52/12*10)+J52,0)</f>
        <v>480</v>
      </c>
      <c r="L52" s="927">
        <v>480</v>
      </c>
      <c r="M52" s="192">
        <v>480</v>
      </c>
      <c r="N52" s="541">
        <v>480</v>
      </c>
      <c r="S52" s="192">
        <v>480</v>
      </c>
      <c r="T52" s="192">
        <v>480</v>
      </c>
      <c r="U52" s="192">
        <f>+S52/2</f>
        <v>240</v>
      </c>
      <c r="V52" s="351">
        <v>480</v>
      </c>
      <c r="W52" s="351">
        <v>480</v>
      </c>
      <c r="X52" s="351">
        <f>+V52/2</f>
        <v>240</v>
      </c>
      <c r="Y52" s="192">
        <v>480</v>
      </c>
      <c r="Z52" s="192">
        <v>480</v>
      </c>
      <c r="AA52" s="192">
        <f>+Y52/2</f>
        <v>240</v>
      </c>
      <c r="AB52" s="351">
        <v>480</v>
      </c>
      <c r="AC52" s="351">
        <v>480</v>
      </c>
      <c r="AD52" s="351">
        <f>+AB52/2</f>
        <v>240</v>
      </c>
    </row>
    <row r="53" spans="1:30" hidden="1" x14ac:dyDescent="0.35">
      <c r="A53" s="1600"/>
      <c r="B53" s="153" t="s">
        <v>227</v>
      </c>
      <c r="C53" s="351">
        <v>300</v>
      </c>
      <c r="D53" s="351">
        <v>300</v>
      </c>
      <c r="E53" s="351"/>
      <c r="F53" s="257"/>
      <c r="G53" s="257"/>
      <c r="H53" s="257"/>
      <c r="I53" s="351"/>
      <c r="J53" s="351"/>
      <c r="K53" s="351"/>
      <c r="L53" s="927"/>
      <c r="M53" s="192"/>
      <c r="N53" s="541"/>
      <c r="S53" s="192"/>
      <c r="T53" s="192"/>
      <c r="U53" s="192"/>
      <c r="V53" s="351"/>
      <c r="W53" s="351"/>
      <c r="X53" s="351"/>
      <c r="Y53" s="192"/>
      <c r="Z53" s="192"/>
      <c r="AA53" s="192"/>
      <c r="AB53" s="351"/>
      <c r="AC53" s="351"/>
      <c r="AD53" s="351"/>
    </row>
    <row r="54" spans="1:30" x14ac:dyDescent="0.35">
      <c r="A54" s="1601"/>
      <c r="B54" s="134" t="s">
        <v>160</v>
      </c>
      <c r="C54" s="352">
        <f>+SUM(C47:C53)</f>
        <v>3330</v>
      </c>
      <c r="D54" s="352">
        <f>+SUM(D47:D53)</f>
        <v>1815</v>
      </c>
      <c r="E54" s="490">
        <f>+SUM(E47:E52)</f>
        <v>3580</v>
      </c>
      <c r="H54" s="116"/>
      <c r="I54" s="352">
        <f t="shared" ref="I54:N54" si="26">+SUM(I47:I52)</f>
        <v>3580</v>
      </c>
      <c r="J54" s="352">
        <f t="shared" si="26"/>
        <v>596.66666666666663</v>
      </c>
      <c r="K54" s="352">
        <f t="shared" si="26"/>
        <v>3580</v>
      </c>
      <c r="L54" s="922">
        <f t="shared" si="26"/>
        <v>3580</v>
      </c>
      <c r="M54" s="193">
        <f t="shared" si="26"/>
        <v>3580</v>
      </c>
      <c r="N54" s="543">
        <f t="shared" si="26"/>
        <v>3580</v>
      </c>
      <c r="S54" s="193">
        <f t="shared" ref="S54:AD54" si="27">+SUM(S47:S52)</f>
        <v>3580</v>
      </c>
      <c r="T54" s="193">
        <f t="shared" si="27"/>
        <v>3580</v>
      </c>
      <c r="U54" s="193">
        <f t="shared" si="27"/>
        <v>1790</v>
      </c>
      <c r="V54" s="352">
        <f t="shared" si="27"/>
        <v>3580</v>
      </c>
      <c r="W54" s="352">
        <f t="shared" si="27"/>
        <v>3580</v>
      </c>
      <c r="X54" s="352">
        <f t="shared" si="27"/>
        <v>1790</v>
      </c>
      <c r="Y54" s="193">
        <f t="shared" si="27"/>
        <v>3580</v>
      </c>
      <c r="Z54" s="193">
        <f t="shared" si="27"/>
        <v>3580</v>
      </c>
      <c r="AA54" s="193">
        <f t="shared" si="27"/>
        <v>1790</v>
      </c>
      <c r="AB54" s="352">
        <f t="shared" si="27"/>
        <v>3580</v>
      </c>
      <c r="AC54" s="352">
        <f t="shared" si="27"/>
        <v>3580</v>
      </c>
      <c r="AD54" s="352">
        <f t="shared" si="27"/>
        <v>1790</v>
      </c>
    </row>
    <row r="55" spans="1:30" ht="8" customHeight="1" x14ac:dyDescent="0.35">
      <c r="D55" s="173"/>
      <c r="L55" s="173"/>
      <c r="V55" s="173"/>
      <c r="W55" s="173"/>
      <c r="X55" s="173"/>
      <c r="AB55" s="173"/>
      <c r="AC55" s="173"/>
      <c r="AD55" s="173"/>
    </row>
    <row r="56" spans="1:30" x14ac:dyDescent="0.35">
      <c r="B56" s="137" t="s">
        <v>233</v>
      </c>
      <c r="C56" s="353">
        <f>+C20+C22+C38+C45+C54</f>
        <v>96198</v>
      </c>
      <c r="D56" s="353">
        <f>+D20+D22+D38+D45+D54</f>
        <v>48251</v>
      </c>
      <c r="E56" s="138">
        <f>+E20+E38+E45+E54+E25</f>
        <v>86398</v>
      </c>
      <c r="F56" s="116"/>
      <c r="G56" s="558"/>
      <c r="H56" s="378"/>
      <c r="I56" s="138">
        <f t="shared" ref="I56:N56" si="28">+I20+I38+I45+I54+I25</f>
        <v>88773</v>
      </c>
      <c r="J56" s="138">
        <f t="shared" si="28"/>
        <v>16931.5</v>
      </c>
      <c r="K56" s="138">
        <f t="shared" si="28"/>
        <v>90805</v>
      </c>
      <c r="L56" s="928">
        <f t="shared" si="28"/>
        <v>101589</v>
      </c>
      <c r="M56" s="138">
        <f t="shared" si="28"/>
        <v>106280</v>
      </c>
      <c r="N56" s="544">
        <f t="shared" si="28"/>
        <v>109588</v>
      </c>
      <c r="S56" s="138">
        <f t="shared" ref="S56:AD56" si="29">+S20+S38+S45+S54</f>
        <v>103115</v>
      </c>
      <c r="T56" s="138">
        <f t="shared" si="29"/>
        <v>99404</v>
      </c>
      <c r="U56" s="138">
        <f t="shared" si="29"/>
        <v>49703</v>
      </c>
      <c r="V56" s="353">
        <f t="shared" si="29"/>
        <v>103590</v>
      </c>
      <c r="W56" s="353">
        <f t="shared" si="29"/>
        <v>100271</v>
      </c>
      <c r="X56" s="353">
        <f t="shared" si="29"/>
        <v>50136.5</v>
      </c>
      <c r="Y56" s="138">
        <f t="shared" si="29"/>
        <v>104489</v>
      </c>
      <c r="Z56" s="138">
        <f t="shared" si="29"/>
        <v>101138</v>
      </c>
      <c r="AA56" s="138">
        <f t="shared" si="29"/>
        <v>50569.5</v>
      </c>
      <c r="AB56" s="353">
        <f t="shared" si="29"/>
        <v>105387</v>
      </c>
      <c r="AC56" s="353">
        <f t="shared" si="29"/>
        <v>102007</v>
      </c>
      <c r="AD56" s="353">
        <f t="shared" si="29"/>
        <v>51003</v>
      </c>
    </row>
    <row r="57" spans="1:30" ht="14.5" customHeight="1" x14ac:dyDescent="0.35">
      <c r="B57" s="196" t="s">
        <v>222</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46">
        <f>(+I56-E56)/E56</f>
        <v>2.7489062246811267E-2</v>
      </c>
      <c r="J58" s="746"/>
      <c r="K58" s="746">
        <f>(+K56-I56)/I56</f>
        <v>2.2889842632331903E-2</v>
      </c>
      <c r="L58" s="901"/>
      <c r="M58" s="746">
        <f>(+M56-K56)/K56</f>
        <v>0.1704201310500523</v>
      </c>
      <c r="N58" s="746">
        <f>(+N56-E56)/E56</f>
        <v>0.26840899094886456</v>
      </c>
      <c r="S58" s="746">
        <f>(+S56-$I56)/$I56</f>
        <v>0.16155813141383077</v>
      </c>
      <c r="T58" s="746">
        <f>(+T56-$I56)/$I56</f>
        <v>0.11975488042535455</v>
      </c>
      <c r="U58" s="746"/>
      <c r="V58" s="746">
        <f>(+V56-$I56)/$I56</f>
        <v>0.16690885742286507</v>
      </c>
      <c r="W58" s="746">
        <f>(+W56-$I56)/$I56</f>
        <v>0.12952136347763396</v>
      </c>
      <c r="X58" s="746"/>
      <c r="Y58" s="746">
        <f>(+Y56-$I56)/$I56</f>
        <v>0.17703581043785835</v>
      </c>
      <c r="Z58" s="746">
        <f>(+Z56-$I56)/$I56</f>
        <v>0.13928784652991338</v>
      </c>
      <c r="AA58" s="746"/>
      <c r="AB58" s="746">
        <f>(+AB56-$I56)/$I56</f>
        <v>0.18715149876651685</v>
      </c>
      <c r="AC58" s="746">
        <f>(+AC56-$I56)/$I56</f>
        <v>0.14907685895486239</v>
      </c>
      <c r="AD58" s="746"/>
    </row>
    <row r="59" spans="1:30" ht="18.5" x14ac:dyDescent="0.35">
      <c r="A59" s="737" t="s">
        <v>420</v>
      </c>
      <c r="C59" s="109"/>
      <c r="L59" s="173"/>
    </row>
    <row r="60" spans="1:30" ht="32" customHeight="1" thickBot="1" x14ac:dyDescent="0.4">
      <c r="A60" s="738"/>
      <c r="B60" s="738"/>
      <c r="C60" s="109"/>
      <c r="I60" s="738"/>
      <c r="J60" s="257"/>
      <c r="K60" s="124"/>
      <c r="L60" s="154"/>
      <c r="M60" s="257"/>
      <c r="S60" s="257"/>
      <c r="T60" s="257"/>
      <c r="U60" s="257"/>
      <c r="V60" s="257"/>
      <c r="W60" s="257"/>
      <c r="X60" s="257"/>
      <c r="Y60" s="257"/>
      <c r="Z60" s="257"/>
      <c r="AA60" s="257"/>
      <c r="AB60" s="257"/>
      <c r="AC60" s="257"/>
      <c r="AD60" s="257"/>
    </row>
    <row r="61" spans="1:30" x14ac:dyDescent="0.35">
      <c r="A61" s="736" t="s">
        <v>425</v>
      </c>
      <c r="C61" s="109"/>
      <c r="I61" s="739" t="s">
        <v>421</v>
      </c>
      <c r="J61" s="739"/>
      <c r="K61" s="739"/>
      <c r="L61" s="902"/>
      <c r="M61" s="739"/>
      <c r="S61" s="784"/>
      <c r="T61" s="784"/>
      <c r="U61" s="784"/>
      <c r="V61" s="784"/>
      <c r="W61" s="784"/>
      <c r="X61" s="784"/>
      <c r="Y61" s="784"/>
      <c r="Z61" s="784"/>
      <c r="AA61" s="784"/>
      <c r="AB61" s="784"/>
      <c r="AC61" s="784"/>
      <c r="AD61" s="784"/>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38"/>
      <c r="B63" s="738"/>
      <c r="C63" s="109"/>
      <c r="I63" s="738"/>
      <c r="J63" s="257"/>
      <c r="K63" s="124"/>
      <c r="L63" s="154"/>
      <c r="M63" s="257"/>
      <c r="S63" s="257"/>
      <c r="T63" s="257"/>
      <c r="U63" s="257"/>
      <c r="V63" s="257"/>
      <c r="W63" s="257"/>
      <c r="X63" s="257"/>
      <c r="Y63" s="257"/>
      <c r="Z63" s="257"/>
      <c r="AA63" s="257"/>
      <c r="AB63" s="257"/>
      <c r="AC63" s="257"/>
      <c r="AD63" s="257"/>
    </row>
    <row r="64" spans="1:30" x14ac:dyDescent="0.35">
      <c r="A64" s="736" t="s">
        <v>423</v>
      </c>
      <c r="C64" s="109"/>
      <c r="I64" s="739" t="s">
        <v>421</v>
      </c>
      <c r="J64" s="739"/>
      <c r="K64" s="739"/>
      <c r="L64" s="902"/>
      <c r="M64" s="739"/>
      <c r="S64" s="784"/>
      <c r="T64" s="784"/>
      <c r="U64" s="784"/>
      <c r="V64" s="784"/>
      <c r="W64" s="784"/>
      <c r="X64" s="784"/>
      <c r="Y64" s="784"/>
      <c r="Z64" s="784"/>
      <c r="AA64" s="784"/>
      <c r="AB64" s="784"/>
      <c r="AC64" s="784"/>
      <c r="AD64" s="784"/>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38"/>
      <c r="B66" s="738"/>
      <c r="C66" s="109"/>
      <c r="I66" s="738"/>
      <c r="J66" s="257"/>
      <c r="K66" s="257"/>
      <c r="L66" s="154"/>
      <c r="M66" s="257"/>
      <c r="S66" s="257"/>
      <c r="T66" s="257"/>
      <c r="U66" s="257"/>
      <c r="V66" s="257"/>
      <c r="W66" s="257"/>
      <c r="X66" s="257"/>
      <c r="Y66" s="257"/>
      <c r="Z66" s="257"/>
      <c r="AA66" s="257"/>
      <c r="AB66" s="257"/>
      <c r="AC66" s="257"/>
      <c r="AD66" s="257"/>
    </row>
    <row r="67" spans="1:30" x14ac:dyDescent="0.35">
      <c r="A67" s="736" t="s">
        <v>424</v>
      </c>
      <c r="C67" s="109"/>
      <c r="I67" s="739" t="s">
        <v>421</v>
      </c>
      <c r="J67" s="739"/>
      <c r="K67" s="739"/>
      <c r="L67" s="902"/>
      <c r="M67" s="739"/>
      <c r="S67" s="784"/>
      <c r="T67" s="784"/>
      <c r="U67" s="784"/>
      <c r="V67" s="784"/>
      <c r="W67" s="784"/>
      <c r="X67" s="784"/>
      <c r="Y67" s="784"/>
      <c r="Z67" s="784"/>
      <c r="AA67" s="784"/>
      <c r="AB67" s="784"/>
      <c r="AC67" s="784"/>
      <c r="AD67" s="784"/>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554" t="s">
        <v>547</v>
      </c>
      <c r="B1" s="1554"/>
      <c r="C1" s="1554"/>
      <c r="D1" s="1554"/>
      <c r="E1" s="1554"/>
    </row>
    <row r="2" spans="1:5" s="710" customFormat="1" ht="10" customHeight="1" x14ac:dyDescent="0.35">
      <c r="C2" s="712"/>
      <c r="D2" s="978">
        <v>0.5</v>
      </c>
      <c r="E2" s="978">
        <v>0.75</v>
      </c>
    </row>
    <row r="3" spans="1:5" ht="37.5" customHeight="1" x14ac:dyDescent="0.35">
      <c r="C3" s="1616" t="s">
        <v>548</v>
      </c>
      <c r="D3" s="1614" t="s">
        <v>549</v>
      </c>
      <c r="E3" s="1616" t="s">
        <v>550</v>
      </c>
    </row>
    <row r="4" spans="1:5" ht="15" customHeight="1" x14ac:dyDescent="0.35">
      <c r="C4" s="1617"/>
      <c r="D4" s="1615"/>
      <c r="E4" s="1617"/>
    </row>
    <row r="5" spans="1:5" ht="14.5" customHeight="1" x14ac:dyDescent="0.35">
      <c r="A5" s="1599" t="s">
        <v>262</v>
      </c>
      <c r="B5" s="376" t="s">
        <v>35</v>
      </c>
      <c r="C5" s="493">
        <v>60000</v>
      </c>
      <c r="D5" s="370">
        <f>+ROUND($C5*D$2,0)</f>
        <v>30000</v>
      </c>
      <c r="E5" s="370">
        <f>+ROUND($C5*E$2,0)</f>
        <v>45000</v>
      </c>
    </row>
    <row r="6" spans="1:5" x14ac:dyDescent="0.35">
      <c r="A6" s="1600"/>
      <c r="B6" s="141" t="s">
        <v>124</v>
      </c>
      <c r="C6" s="373">
        <v>24000</v>
      </c>
      <c r="D6" s="782">
        <f>+ROUND($C6*D$2,0)</f>
        <v>12000</v>
      </c>
      <c r="E6" s="782">
        <f>+ROUND($C6*E$2,0)</f>
        <v>18000</v>
      </c>
    </row>
    <row r="7" spans="1:5" x14ac:dyDescent="0.35">
      <c r="A7" s="1600"/>
      <c r="B7" s="160" t="s">
        <v>141</v>
      </c>
      <c r="C7" s="349">
        <f>+C5+C6</f>
        <v>84000</v>
      </c>
      <c r="D7" s="349">
        <f>+D5+D6</f>
        <v>42000</v>
      </c>
      <c r="E7" s="349">
        <f>+E5+E6</f>
        <v>63000</v>
      </c>
    </row>
    <row r="8" spans="1:5" ht="6.5" customHeight="1" x14ac:dyDescent="0.35">
      <c r="A8" s="1600"/>
      <c r="B8" s="153"/>
      <c r="C8" s="146"/>
      <c r="D8" s="146"/>
      <c r="E8" s="146"/>
    </row>
    <row r="9" spans="1:5" x14ac:dyDescent="0.35">
      <c r="A9" s="1600"/>
      <c r="B9" s="153" t="s">
        <v>407</v>
      </c>
      <c r="C9" s="382">
        <v>7.6499999999999999E-2</v>
      </c>
      <c r="D9" s="382"/>
      <c r="E9" s="382">
        <v>7.6499999999999999E-2</v>
      </c>
    </row>
    <row r="10" spans="1:5" x14ac:dyDescent="0.35">
      <c r="A10" s="1600"/>
      <c r="B10" s="153" t="s">
        <v>229</v>
      </c>
      <c r="C10" s="165">
        <f>ROUND(+C7*C9,0)</f>
        <v>6426</v>
      </c>
      <c r="D10" s="354">
        <v>3000</v>
      </c>
      <c r="E10" s="165">
        <f>ROUND(+E7*E9,0)</f>
        <v>4820</v>
      </c>
    </row>
    <row r="11" spans="1:5" x14ac:dyDescent="0.35">
      <c r="A11" s="1601"/>
      <c r="B11" s="168" t="s">
        <v>143</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144</v>
      </c>
      <c r="C13" s="492">
        <v>0</v>
      </c>
      <c r="D13" s="492">
        <v>0</v>
      </c>
      <c r="E13" s="492">
        <v>0</v>
      </c>
    </row>
    <row r="14" spans="1:5" ht="14.5" hidden="1" customHeight="1" x14ac:dyDescent="0.35">
      <c r="A14" s="899"/>
      <c r="B14" s="153" t="s">
        <v>164</v>
      </c>
      <c r="C14" s="354">
        <v>0</v>
      </c>
      <c r="D14" s="354">
        <v>0</v>
      </c>
      <c r="E14" s="354">
        <v>0</v>
      </c>
    </row>
    <row r="15" spans="1:5" ht="14.5" customHeight="1" x14ac:dyDescent="0.35">
      <c r="A15" s="1599" t="s">
        <v>127</v>
      </c>
      <c r="B15" s="979" t="s">
        <v>555</v>
      </c>
      <c r="C15" s="492">
        <f>343*12</f>
        <v>4116</v>
      </c>
      <c r="D15" s="491">
        <f>+C15</f>
        <v>4116</v>
      </c>
      <c r="E15" s="491">
        <f>+C15</f>
        <v>4116</v>
      </c>
    </row>
    <row r="16" spans="1:5" x14ac:dyDescent="0.35">
      <c r="A16" s="1600"/>
      <c r="B16" s="391" t="s">
        <v>551</v>
      </c>
      <c r="C16" s="375">
        <f>+C$11*0.12</f>
        <v>10851.119999999999</v>
      </c>
      <c r="D16" s="375">
        <f t="shared" ref="D16:E16" si="0">+D$11*0.12</f>
        <v>5400</v>
      </c>
      <c r="E16" s="375">
        <f t="shared" si="0"/>
        <v>8138.4</v>
      </c>
    </row>
    <row r="17" spans="1:5" ht="14.5" customHeight="1" x14ac:dyDescent="0.35">
      <c r="A17" s="1600"/>
      <c r="B17" s="153" t="s">
        <v>557</v>
      </c>
      <c r="C17" s="375">
        <f>+C$11*0.009</f>
        <v>813.83399999999995</v>
      </c>
      <c r="D17" s="375">
        <f t="shared" ref="D17:E17" si="1">+D$11*0.009</f>
        <v>404.99999999999994</v>
      </c>
      <c r="E17" s="375">
        <f t="shared" si="1"/>
        <v>610.38</v>
      </c>
    </row>
    <row r="18" spans="1:5" x14ac:dyDescent="0.35">
      <c r="A18" s="1600"/>
      <c r="B18" s="153" t="s">
        <v>556</v>
      </c>
      <c r="C18" s="375">
        <f>+C$11*0.008</f>
        <v>723.40800000000002</v>
      </c>
      <c r="D18" s="375">
        <f t="shared" ref="D18:E18" si="2">+D$11*0.008</f>
        <v>360</v>
      </c>
      <c r="E18" s="375">
        <f t="shared" si="2"/>
        <v>542.56000000000006</v>
      </c>
    </row>
    <row r="19" spans="1:5" ht="14.5" customHeight="1" x14ac:dyDescent="0.35">
      <c r="A19" s="1600"/>
      <c r="B19" s="123" t="s">
        <v>553</v>
      </c>
      <c r="C19" s="351">
        <v>1200</v>
      </c>
      <c r="D19" s="375">
        <f>+$C19*D2</f>
        <v>600</v>
      </c>
      <c r="E19" s="375">
        <f>+$C19*E2</f>
        <v>900</v>
      </c>
    </row>
    <row r="20" spans="1:5" x14ac:dyDescent="0.35">
      <c r="A20" s="1601"/>
      <c r="B20" s="129" t="s">
        <v>552</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554</v>
      </c>
      <c r="C22" s="353">
        <f>+C11+C20</f>
        <v>108130.36199999999</v>
      </c>
      <c r="D22" s="353">
        <f t="shared" ref="D22:E22" si="4">+D11+D20</f>
        <v>55881</v>
      </c>
      <c r="E22" s="353">
        <f t="shared" si="4"/>
        <v>82127.34</v>
      </c>
    </row>
    <row r="23" spans="1:5" x14ac:dyDescent="0.35">
      <c r="C23" s="173"/>
      <c r="D23" s="173"/>
      <c r="E23" s="173"/>
    </row>
    <row r="24" spans="1:5" x14ac:dyDescent="0.35">
      <c r="B24" s="736" t="s">
        <v>558</v>
      </c>
      <c r="C24" s="736"/>
      <c r="D24" s="980">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85" customWidth="1"/>
    <col min="2" max="2" width="12.6328125" style="785" customWidth="1"/>
    <col min="3" max="3" width="1" style="786" customWidth="1"/>
    <col min="4" max="7" width="12.6328125" style="785" customWidth="1"/>
    <col min="8" max="8" width="1.6328125" style="785" customWidth="1"/>
    <col min="9" max="9" width="8.7265625" style="785"/>
    <col min="10" max="10" width="8.7265625" style="785" customWidth="1"/>
    <col min="11" max="16384" width="8.7265625" style="785"/>
  </cols>
  <sheetData>
    <row r="1" spans="1:10" ht="23.5" x14ac:dyDescent="0.55000000000000004">
      <c r="A1" s="1519" t="s">
        <v>430</v>
      </c>
      <c r="B1" s="1519"/>
      <c r="C1" s="1519"/>
      <c r="D1" s="1519"/>
      <c r="E1" s="1519"/>
      <c r="F1" s="1519"/>
      <c r="G1" s="1519"/>
      <c r="H1" s="1519"/>
      <c r="I1" s="1519"/>
      <c r="J1" s="1519"/>
    </row>
    <row r="2" spans="1:10" ht="19" thickBot="1" x14ac:dyDescent="0.5"/>
    <row r="3" spans="1:10" ht="19" thickBot="1" x14ac:dyDescent="0.5">
      <c r="B3" s="1638" t="s">
        <v>435</v>
      </c>
      <c r="C3" s="1639"/>
      <c r="D3" s="1639"/>
      <c r="E3" s="1639"/>
      <c r="F3" s="1639"/>
      <c r="G3" s="1640"/>
    </row>
    <row r="4" spans="1:10" ht="21" x14ac:dyDescent="0.45">
      <c r="B4" s="1636" t="s">
        <v>437</v>
      </c>
      <c r="C4" s="801"/>
      <c r="D4" s="1641" t="s">
        <v>436</v>
      </c>
      <c r="E4" s="1642"/>
      <c r="F4" s="1642"/>
      <c r="G4" s="1643"/>
      <c r="I4" s="1635" t="s">
        <v>439</v>
      </c>
      <c r="J4" s="1635"/>
    </row>
    <row r="5" spans="1:10" ht="19" customHeight="1" thickBot="1" x14ac:dyDescent="0.5">
      <c r="A5" s="808"/>
      <c r="B5" s="1637"/>
      <c r="C5" s="801"/>
      <c r="D5" s="794">
        <v>7.0000000000000007E-2</v>
      </c>
      <c r="E5" s="790">
        <v>0.08</v>
      </c>
      <c r="F5" s="790">
        <v>0.09</v>
      </c>
      <c r="G5" s="795">
        <v>0.1</v>
      </c>
      <c r="I5" s="1635"/>
      <c r="J5" s="1635"/>
    </row>
    <row r="6" spans="1:10" x14ac:dyDescent="0.45">
      <c r="A6" s="787" t="s">
        <v>431</v>
      </c>
      <c r="B6" s="792">
        <f>+ROUND('Pastor Kelly'!I56/2,0)</f>
        <v>44387</v>
      </c>
      <c r="C6" s="802"/>
      <c r="D6" s="796">
        <f>+'Pastor Kelly'!U56</f>
        <v>49703</v>
      </c>
      <c r="E6" s="789">
        <f>+'Pastor Kelly'!X56</f>
        <v>50136.5</v>
      </c>
      <c r="F6" s="789">
        <f>+'Pastor Kelly'!AA56</f>
        <v>50569.5</v>
      </c>
      <c r="G6" s="797">
        <f>+'Pastor Kelly'!AD56</f>
        <v>51003</v>
      </c>
      <c r="I6" s="1635"/>
      <c r="J6" s="1635"/>
    </row>
    <row r="7" spans="1:10" ht="19" thickBot="1" x14ac:dyDescent="0.5">
      <c r="A7" s="807" t="s">
        <v>432</v>
      </c>
      <c r="B7" s="793"/>
      <c r="C7" s="803"/>
      <c r="D7" s="798">
        <f>+D6-$B6</f>
        <v>5316</v>
      </c>
      <c r="E7" s="799">
        <f>+E6-$B6</f>
        <v>5749.5</v>
      </c>
      <c r="F7" s="799">
        <f>+F6-$B6</f>
        <v>6182.5</v>
      </c>
      <c r="G7" s="800">
        <f>+G6-$B6</f>
        <v>6616</v>
      </c>
      <c r="I7" s="1635"/>
      <c r="J7" s="1635"/>
    </row>
    <row r="8" spans="1:10" ht="19" thickBot="1" x14ac:dyDescent="0.5">
      <c r="I8" s="804"/>
      <c r="J8" s="804"/>
    </row>
    <row r="9" spans="1:10" ht="19" thickBot="1" x14ac:dyDescent="0.5">
      <c r="B9" s="1638" t="s">
        <v>78</v>
      </c>
      <c r="C9" s="1639"/>
      <c r="D9" s="1639"/>
      <c r="E9" s="1639"/>
      <c r="F9" s="1639"/>
      <c r="G9" s="1640"/>
    </row>
    <row r="10" spans="1:10" ht="21" x14ac:dyDescent="0.45">
      <c r="B10" s="1636" t="s">
        <v>437</v>
      </c>
      <c r="C10" s="801"/>
      <c r="D10" s="1641" t="s">
        <v>436</v>
      </c>
      <c r="E10" s="1642"/>
      <c r="F10" s="1642"/>
      <c r="G10" s="1643"/>
      <c r="I10" s="1635" t="s">
        <v>438</v>
      </c>
      <c r="J10" s="1635"/>
    </row>
    <row r="11" spans="1:10" ht="19" customHeight="1" thickBot="1" x14ac:dyDescent="0.5">
      <c r="A11" s="808"/>
      <c r="B11" s="1637"/>
      <c r="C11" s="801"/>
      <c r="D11" s="794">
        <v>7.0000000000000007E-2</v>
      </c>
      <c r="E11" s="790">
        <v>0.08</v>
      </c>
      <c r="F11" s="790">
        <v>0.09</v>
      </c>
      <c r="G11" s="795">
        <v>0.1</v>
      </c>
      <c r="I11" s="1635"/>
      <c r="J11" s="1635"/>
    </row>
    <row r="12" spans="1:10" x14ac:dyDescent="0.45">
      <c r="A12" s="787" t="s">
        <v>431</v>
      </c>
      <c r="B12" s="792">
        <f>+'Pastor Kelly'!I56</f>
        <v>88773</v>
      </c>
      <c r="C12" s="802"/>
      <c r="D12" s="796">
        <f>+'Pastor Kelly'!T56</f>
        <v>99404</v>
      </c>
      <c r="E12" s="789">
        <f>+'Pastor Kelly'!W56</f>
        <v>100271</v>
      </c>
      <c r="F12" s="789">
        <f>+'Pastor Kelly'!Z56</f>
        <v>101138</v>
      </c>
      <c r="G12" s="797">
        <f>+'Pastor Kelly'!AC56</f>
        <v>102007</v>
      </c>
      <c r="I12" s="1635"/>
      <c r="J12" s="1635"/>
    </row>
    <row r="13" spans="1:10" ht="19" thickBot="1" x14ac:dyDescent="0.5">
      <c r="A13" s="807" t="s">
        <v>432</v>
      </c>
      <c r="B13" s="793"/>
      <c r="C13" s="803"/>
      <c r="D13" s="798">
        <f>+D12-$B12</f>
        <v>10631</v>
      </c>
      <c r="E13" s="799">
        <f>+E12-$B12</f>
        <v>11498</v>
      </c>
      <c r="F13" s="799">
        <f>+F12-$B12</f>
        <v>12365</v>
      </c>
      <c r="G13" s="800">
        <f>+G12-$B12</f>
        <v>13234</v>
      </c>
      <c r="I13" s="1635"/>
      <c r="J13" s="1635"/>
    </row>
    <row r="14" spans="1:10" x14ac:dyDescent="0.45">
      <c r="I14" s="804"/>
      <c r="J14" s="804"/>
    </row>
    <row r="15" spans="1:10" ht="39.5" customHeight="1" x14ac:dyDescent="0.45">
      <c r="A15" s="1633" t="s">
        <v>433</v>
      </c>
      <c r="B15" s="1633"/>
      <c r="C15" s="1633"/>
      <c r="D15" s="1633"/>
      <c r="E15" s="1633"/>
      <c r="F15" s="1633"/>
      <c r="G15" s="1633"/>
      <c r="H15" s="1633"/>
      <c r="I15" s="1633"/>
      <c r="J15" s="1633"/>
    </row>
    <row r="16" spans="1:10" ht="10.5" customHeight="1" x14ac:dyDescent="0.45">
      <c r="A16" s="788"/>
      <c r="B16" s="788"/>
      <c r="C16" s="791"/>
      <c r="D16" s="788"/>
      <c r="E16" s="788"/>
      <c r="F16" s="788"/>
      <c r="G16" s="788"/>
    </row>
    <row r="17" spans="1:10" ht="39" customHeight="1" x14ac:dyDescent="0.45">
      <c r="A17" s="1634" t="s">
        <v>434</v>
      </c>
      <c r="B17" s="1634"/>
      <c r="C17" s="1634"/>
      <c r="D17" s="1634"/>
      <c r="E17" s="1634"/>
      <c r="F17" s="1634"/>
      <c r="G17" s="1634"/>
      <c r="H17" s="1634"/>
      <c r="I17" s="1634"/>
      <c r="J17" s="1634"/>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649" t="s">
        <v>471</v>
      </c>
      <c r="I2" s="1650"/>
      <c r="J2" s="1651"/>
    </row>
    <row r="3" spans="1:13" ht="30" x14ac:dyDescent="0.45">
      <c r="A3" s="823" t="s">
        <v>463</v>
      </c>
      <c r="B3" s="840" t="s">
        <v>369</v>
      </c>
      <c r="C3" s="841" t="s">
        <v>285</v>
      </c>
      <c r="D3" s="842"/>
      <c r="E3" s="1647" t="s">
        <v>469</v>
      </c>
      <c r="F3" s="1648"/>
      <c r="H3" s="826" t="s">
        <v>473</v>
      </c>
      <c r="I3" s="825" t="s">
        <v>474</v>
      </c>
      <c r="J3" s="824" t="s">
        <v>475</v>
      </c>
    </row>
    <row r="4" spans="1:13" x14ac:dyDescent="0.35">
      <c r="A4" s="843" t="s">
        <v>464</v>
      </c>
      <c r="B4" s="828">
        <v>13.33</v>
      </c>
      <c r="C4" s="828">
        <v>11.22</v>
      </c>
      <c r="D4" s="820"/>
      <c r="E4" s="828">
        <v>15</v>
      </c>
      <c r="F4" s="844">
        <v>16</v>
      </c>
      <c r="H4" s="827">
        <v>11.86</v>
      </c>
      <c r="I4" s="828">
        <v>11</v>
      </c>
      <c r="J4" s="821"/>
    </row>
    <row r="5" spans="1:13" x14ac:dyDescent="0.35">
      <c r="A5" s="845" t="s">
        <v>465</v>
      </c>
      <c r="B5" s="830">
        <v>20</v>
      </c>
      <c r="C5" s="830">
        <v>7.5</v>
      </c>
      <c r="D5" s="616"/>
      <c r="E5" s="830">
        <v>20</v>
      </c>
      <c r="F5" s="846">
        <v>20</v>
      </c>
      <c r="H5" s="829">
        <v>20</v>
      </c>
      <c r="I5" s="830">
        <v>15</v>
      </c>
      <c r="J5" s="831"/>
    </row>
    <row r="6" spans="1:13" x14ac:dyDescent="0.35">
      <c r="A6" s="847" t="s">
        <v>125</v>
      </c>
      <c r="B6" s="833">
        <f>+B4*B5*52</f>
        <v>13863.2</v>
      </c>
      <c r="C6" s="833">
        <f>+C4*C5*52</f>
        <v>4375.8</v>
      </c>
      <c r="D6" s="616"/>
      <c r="E6" s="833">
        <f>+E4*E5*52</f>
        <v>15600</v>
      </c>
      <c r="F6" s="848">
        <f>+F4*F5*52</f>
        <v>16640</v>
      </c>
      <c r="H6" s="832">
        <f>+H4*H5*52</f>
        <v>12334.4</v>
      </c>
      <c r="I6" s="833">
        <f>+I4*I5*52</f>
        <v>8580</v>
      </c>
      <c r="J6" s="831"/>
      <c r="K6" s="822"/>
    </row>
    <row r="7" spans="1:13" x14ac:dyDescent="0.35">
      <c r="A7" s="834"/>
      <c r="B7" s="616"/>
      <c r="C7" s="616"/>
      <c r="D7" s="616"/>
      <c r="E7" s="616"/>
      <c r="F7" s="831"/>
      <c r="H7" s="834"/>
      <c r="I7" s="616"/>
      <c r="J7" s="831"/>
    </row>
    <row r="8" spans="1:13" x14ac:dyDescent="0.35">
      <c r="A8" s="834" t="s">
        <v>466</v>
      </c>
      <c r="B8" s="616"/>
      <c r="C8" s="616"/>
      <c r="D8" s="849"/>
      <c r="E8" s="836"/>
      <c r="F8" s="850"/>
      <c r="H8" s="834"/>
      <c r="I8" s="616"/>
      <c r="J8" s="831"/>
      <c r="L8" s="1652" t="s">
        <v>480</v>
      </c>
      <c r="M8" s="1648"/>
    </row>
    <row r="9" spans="1:13" x14ac:dyDescent="0.35">
      <c r="A9" s="834" t="s">
        <v>467</v>
      </c>
      <c r="B9" s="836">
        <f>+B6*0.0765</f>
        <v>1060.5348000000001</v>
      </c>
      <c r="C9" s="836">
        <f>+C6*0.0765</f>
        <v>334.74869999999999</v>
      </c>
      <c r="D9" s="849"/>
      <c r="E9" s="836">
        <f>+E6*0.0765</f>
        <v>1193.4000000000001</v>
      </c>
      <c r="F9" s="850">
        <f>+F6*0.0765</f>
        <v>1272.96</v>
      </c>
      <c r="H9" s="835">
        <f>+H6*0.0765</f>
        <v>943.58159999999998</v>
      </c>
      <c r="I9" s="836">
        <f>+I6*0.0765</f>
        <v>656.37</v>
      </c>
      <c r="J9" s="831"/>
      <c r="L9" s="1644" t="s">
        <v>476</v>
      </c>
      <c r="M9" s="1645"/>
    </row>
    <row r="10" spans="1:13" x14ac:dyDescent="0.35">
      <c r="A10" s="834" t="s">
        <v>468</v>
      </c>
      <c r="B10" s="616"/>
      <c r="C10" s="616"/>
      <c r="D10" s="616"/>
      <c r="E10" s="616"/>
      <c r="F10" s="831"/>
      <c r="H10" s="834"/>
      <c r="I10" s="616"/>
      <c r="J10" s="831"/>
      <c r="L10" s="859" t="s">
        <v>477</v>
      </c>
      <c r="M10" s="860" t="s">
        <v>478</v>
      </c>
    </row>
    <row r="11" spans="1:13" x14ac:dyDescent="0.35">
      <c r="A11" s="851" t="s">
        <v>470</v>
      </c>
      <c r="B11" s="838">
        <f>+B6+B9</f>
        <v>14923.7348</v>
      </c>
      <c r="C11" s="838">
        <f>+C6+C9</f>
        <v>4710.5487000000003</v>
      </c>
      <c r="D11" s="852"/>
      <c r="E11" s="838">
        <f>+E6+E9</f>
        <v>16793.400000000001</v>
      </c>
      <c r="F11" s="839">
        <f>+F6+F9</f>
        <v>17912.96</v>
      </c>
      <c r="H11" s="837">
        <f>+H6+H9</f>
        <v>13277.981599999999</v>
      </c>
      <c r="I11" s="838">
        <f>+I6+I9</f>
        <v>9236.3700000000008</v>
      </c>
      <c r="J11" s="857">
        <f>+H11+I11</f>
        <v>22514.351600000002</v>
      </c>
      <c r="K11" s="822"/>
      <c r="L11" s="861">
        <v>8555.2900000000009</v>
      </c>
      <c r="M11" s="862">
        <v>14490.85</v>
      </c>
    </row>
    <row r="12" spans="1:13" x14ac:dyDescent="0.35">
      <c r="C12" s="853"/>
      <c r="D12" s="854" t="s">
        <v>472</v>
      </c>
      <c r="E12" s="855">
        <f>+E11-B11</f>
        <v>1869.6652000000013</v>
      </c>
      <c r="F12" s="856">
        <f>+F11-B11</f>
        <v>2989.2251999999989</v>
      </c>
      <c r="L12" s="863">
        <f>+M11-L11</f>
        <v>5935.5599999999995</v>
      </c>
      <c r="M12" s="477" t="s">
        <v>479</v>
      </c>
    </row>
    <row r="15" spans="1:13" ht="30" x14ac:dyDescent="0.45">
      <c r="A15" s="823" t="s">
        <v>169</v>
      </c>
      <c r="B15" s="840" t="s">
        <v>369</v>
      </c>
      <c r="C15" s="841" t="s">
        <v>285</v>
      </c>
      <c r="D15" s="842"/>
      <c r="E15" s="1647" t="s">
        <v>469</v>
      </c>
      <c r="F15" s="1648"/>
    </row>
    <row r="16" spans="1:13" x14ac:dyDescent="0.35">
      <c r="A16" s="843" t="s">
        <v>464</v>
      </c>
      <c r="B16" s="828">
        <v>19.93</v>
      </c>
      <c r="C16" s="828">
        <v>17.690000000000001</v>
      </c>
      <c r="D16" s="820"/>
      <c r="E16" s="828">
        <v>20.5</v>
      </c>
      <c r="F16" s="844">
        <v>21</v>
      </c>
    </row>
    <row r="17" spans="1:13" x14ac:dyDescent="0.35">
      <c r="A17" s="845" t="s">
        <v>465</v>
      </c>
      <c r="B17" s="830">
        <v>40</v>
      </c>
      <c r="C17" s="830">
        <v>40</v>
      </c>
      <c r="D17" s="616"/>
      <c r="E17" s="830">
        <v>40</v>
      </c>
      <c r="F17" s="846">
        <v>40</v>
      </c>
    </row>
    <row r="18" spans="1:13" x14ac:dyDescent="0.35">
      <c r="A18" s="847" t="s">
        <v>125</v>
      </c>
      <c r="B18" s="833">
        <f>+B16*B17*52</f>
        <v>41454.400000000001</v>
      </c>
      <c r="C18" s="833">
        <f>+C16*C17*52</f>
        <v>36795.200000000004</v>
      </c>
      <c r="D18" s="616"/>
      <c r="E18" s="833">
        <f>+E16*E17*52</f>
        <v>42640</v>
      </c>
      <c r="F18" s="848">
        <f>+F16*F17*52</f>
        <v>43680</v>
      </c>
    </row>
    <row r="19" spans="1:13" x14ac:dyDescent="0.35">
      <c r="A19" s="834"/>
      <c r="B19" s="616"/>
      <c r="C19" s="616"/>
      <c r="D19" s="616"/>
      <c r="E19" s="616"/>
      <c r="F19" s="831"/>
    </row>
    <row r="20" spans="1:13" ht="14.5" customHeight="1" x14ac:dyDescent="0.35">
      <c r="A20" s="834" t="s">
        <v>466</v>
      </c>
      <c r="B20" s="616"/>
      <c r="C20" s="616"/>
      <c r="D20" s="849"/>
      <c r="E20" s="836"/>
      <c r="F20" s="850"/>
      <c r="I20" s="1646" t="s">
        <v>481</v>
      </c>
      <c r="J20" s="1646"/>
      <c r="K20" s="1598"/>
      <c r="L20" s="1652" t="s">
        <v>169</v>
      </c>
      <c r="M20" s="1648"/>
    </row>
    <row r="21" spans="1:13" x14ac:dyDescent="0.35">
      <c r="A21" s="834" t="s">
        <v>467</v>
      </c>
      <c r="B21" s="836">
        <f>+B18*0.0765</f>
        <v>3171.2616000000003</v>
      </c>
      <c r="C21" s="836">
        <f>+C18*0.0765</f>
        <v>2814.8328000000001</v>
      </c>
      <c r="D21" s="849"/>
      <c r="E21" s="836">
        <f>+E18*0.0765</f>
        <v>3261.96</v>
      </c>
      <c r="F21" s="850">
        <f>+F18*0.0765</f>
        <v>3341.52</v>
      </c>
      <c r="I21" s="1646"/>
      <c r="J21" s="1646"/>
      <c r="K21" s="1598"/>
      <c r="L21" s="1644" t="s">
        <v>476</v>
      </c>
      <c r="M21" s="1645"/>
    </row>
    <row r="22" spans="1:13" x14ac:dyDescent="0.35">
      <c r="A22" s="834" t="s">
        <v>468</v>
      </c>
      <c r="B22" s="616"/>
      <c r="C22" s="616"/>
      <c r="D22" s="616"/>
      <c r="E22" s="616"/>
      <c r="F22" s="831"/>
      <c r="I22" s="1646"/>
      <c r="J22" s="1646"/>
      <c r="K22" s="1598"/>
      <c r="L22" s="859" t="s">
        <v>477</v>
      </c>
      <c r="M22" s="860" t="s">
        <v>478</v>
      </c>
    </row>
    <row r="23" spans="1:13" x14ac:dyDescent="0.35">
      <c r="A23" s="851" t="s">
        <v>470</v>
      </c>
      <c r="B23" s="838">
        <f>+B18+B21</f>
        <v>44625.661599999999</v>
      </c>
      <c r="C23" s="838">
        <f>+C18+C21</f>
        <v>39610.032800000001</v>
      </c>
      <c r="D23" s="852"/>
      <c r="E23" s="838">
        <f>+E18+E21</f>
        <v>45901.96</v>
      </c>
      <c r="F23" s="839">
        <f>+F18+F21</f>
        <v>47021.52</v>
      </c>
      <c r="I23" s="1646"/>
      <c r="J23" s="1646"/>
      <c r="K23" s="1598"/>
      <c r="L23" s="861">
        <v>15623.14</v>
      </c>
      <c r="M23" s="862">
        <v>17272.5</v>
      </c>
    </row>
    <row r="24" spans="1:13" x14ac:dyDescent="0.35">
      <c r="C24" s="858"/>
      <c r="D24" s="854" t="s">
        <v>472</v>
      </c>
      <c r="E24" s="855">
        <f>+E23-B23</f>
        <v>1276.2983999999997</v>
      </c>
      <c r="F24" s="856">
        <f>+F23-B23</f>
        <v>2395.8583999999973</v>
      </c>
      <c r="I24" s="1646"/>
      <c r="J24" s="1646"/>
      <c r="K24" s="1598"/>
      <c r="L24" s="863">
        <f>+M23-L23</f>
        <v>1649.3600000000006</v>
      </c>
      <c r="M24" s="477" t="s">
        <v>479</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8" t="s">
        <v>79</v>
      </c>
      <c r="C1" s="326"/>
      <c r="D1" s="326"/>
      <c r="E1" s="326"/>
    </row>
    <row r="2" spans="1:9" ht="23.25" customHeight="1" x14ac:dyDescent="0.35">
      <c r="E2" s="327" t="s">
        <v>78</v>
      </c>
    </row>
    <row r="3" spans="1:9" x14ac:dyDescent="0.35">
      <c r="E3" s="1653" t="s">
        <v>142</v>
      </c>
      <c r="F3" s="1655" t="s">
        <v>142</v>
      </c>
      <c r="G3" s="1656"/>
      <c r="H3" s="1656"/>
      <c r="I3" s="1657"/>
    </row>
    <row r="4" spans="1:9" s="2" customFormat="1" x14ac:dyDescent="0.35">
      <c r="A4" s="41"/>
      <c r="D4" s="13"/>
      <c r="E4" s="1654"/>
      <c r="F4" s="323" t="s">
        <v>216</v>
      </c>
      <c r="G4" s="324" t="s">
        <v>217</v>
      </c>
      <c r="H4" s="324" t="s">
        <v>218</v>
      </c>
      <c r="I4" s="324" t="s">
        <v>219</v>
      </c>
    </row>
    <row r="5" spans="1:9" ht="6" customHeight="1" x14ac:dyDescent="0.35">
      <c r="A5" s="40">
        <v>18</v>
      </c>
    </row>
    <row r="6" spans="1:9" ht="18.5" x14ac:dyDescent="0.35">
      <c r="A6" s="40">
        <v>20</v>
      </c>
      <c r="B6" s="5" t="s">
        <v>84</v>
      </c>
    </row>
    <row r="7" spans="1:9" s="2" customFormat="1" x14ac:dyDescent="0.35">
      <c r="A7" s="40">
        <v>26</v>
      </c>
      <c r="B7" s="10"/>
      <c r="C7" s="11" t="s">
        <v>85</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55</v>
      </c>
      <c r="C9" s="14"/>
      <c r="D9" s="13"/>
      <c r="E9" s="13"/>
    </row>
    <row r="10" spans="1:9" x14ac:dyDescent="0.35">
      <c r="A10" s="40">
        <v>29</v>
      </c>
      <c r="B10" s="2" t="s">
        <v>9</v>
      </c>
    </row>
    <row r="11" spans="1:9" x14ac:dyDescent="0.35">
      <c r="A11" s="40">
        <v>30</v>
      </c>
      <c r="C11" s="200" t="s">
        <v>76</v>
      </c>
      <c r="D11" s="209"/>
      <c r="E11" s="197">
        <v>2000</v>
      </c>
      <c r="G11" s="1">
        <v>2000</v>
      </c>
    </row>
    <row r="12" spans="1:9" x14ac:dyDescent="0.35">
      <c r="A12" s="40">
        <v>31</v>
      </c>
      <c r="C12" s="204" t="s">
        <v>10</v>
      </c>
      <c r="D12" s="212"/>
      <c r="E12" s="201">
        <v>1000</v>
      </c>
      <c r="G12" s="1">
        <v>1000</v>
      </c>
    </row>
    <row r="13" spans="1:9" x14ac:dyDescent="0.35">
      <c r="A13" s="40">
        <v>32</v>
      </c>
      <c r="C13" s="204" t="s">
        <v>140</v>
      </c>
      <c r="D13" s="212"/>
      <c r="E13" s="201">
        <v>1000</v>
      </c>
      <c r="G13" s="1">
        <v>1000</v>
      </c>
    </row>
    <row r="14" spans="1:9" x14ac:dyDescent="0.35">
      <c r="A14" s="40">
        <v>33</v>
      </c>
      <c r="C14" s="204" t="s">
        <v>11</v>
      </c>
      <c r="D14" s="212"/>
      <c r="E14" s="201">
        <v>300</v>
      </c>
      <c r="G14" s="1">
        <v>300</v>
      </c>
    </row>
    <row r="15" spans="1:9" ht="14.5" customHeight="1" x14ac:dyDescent="0.35">
      <c r="A15" s="40">
        <v>34</v>
      </c>
      <c r="C15" s="204" t="s">
        <v>12</v>
      </c>
      <c r="D15" s="212"/>
      <c r="E15" s="201">
        <v>200</v>
      </c>
      <c r="G15" s="1">
        <v>200</v>
      </c>
    </row>
    <row r="16" spans="1:9" x14ac:dyDescent="0.35">
      <c r="C16" s="204" t="s">
        <v>99</v>
      </c>
      <c r="D16" s="212"/>
      <c r="E16" s="201">
        <v>750</v>
      </c>
      <c r="G16" s="1">
        <v>750</v>
      </c>
    </row>
    <row r="17" spans="1:7" ht="14.4" customHeight="1" x14ac:dyDescent="0.35">
      <c r="A17" s="40">
        <v>35</v>
      </c>
      <c r="C17" s="208" t="s">
        <v>80</v>
      </c>
      <c r="D17" s="215"/>
      <c r="E17" s="205">
        <v>200</v>
      </c>
      <c r="G17" s="1">
        <v>200</v>
      </c>
    </row>
    <row r="18" spans="1:7" s="2" customFormat="1" x14ac:dyDescent="0.35">
      <c r="A18" s="40">
        <v>36</v>
      </c>
      <c r="B18" s="34" t="s">
        <v>13</v>
      </c>
      <c r="C18" s="34"/>
      <c r="D18" s="34"/>
      <c r="E18" s="34">
        <v>5450</v>
      </c>
    </row>
    <row r="19" spans="1:7" ht="6" customHeight="1" x14ac:dyDescent="0.35">
      <c r="A19" s="40">
        <v>37</v>
      </c>
    </row>
    <row r="20" spans="1:7" x14ac:dyDescent="0.35">
      <c r="A20" s="40">
        <v>40</v>
      </c>
      <c r="B20" s="2" t="s">
        <v>108</v>
      </c>
    </row>
    <row r="21" spans="1:7" x14ac:dyDescent="0.35">
      <c r="A21" s="40">
        <v>41</v>
      </c>
      <c r="C21" s="200" t="s">
        <v>14</v>
      </c>
      <c r="D21" s="209"/>
      <c r="E21" s="220">
        <v>4000</v>
      </c>
      <c r="F21" s="1">
        <v>4000</v>
      </c>
    </row>
    <row r="22" spans="1:7" x14ac:dyDescent="0.35">
      <c r="C22" s="204" t="s">
        <v>113</v>
      </c>
      <c r="D22" s="212"/>
      <c r="E22" s="201">
        <v>0</v>
      </c>
      <c r="F22" s="1">
        <v>0</v>
      </c>
    </row>
    <row r="23" spans="1:7" x14ac:dyDescent="0.35">
      <c r="A23" s="40">
        <v>43</v>
      </c>
      <c r="C23" s="204" t="s">
        <v>15</v>
      </c>
      <c r="D23" s="212"/>
      <c r="E23" s="201">
        <v>100</v>
      </c>
      <c r="F23" s="1">
        <v>100</v>
      </c>
    </row>
    <row r="24" spans="1:7" x14ac:dyDescent="0.35">
      <c r="A24" s="40">
        <v>44</v>
      </c>
      <c r="C24" s="208" t="s">
        <v>16</v>
      </c>
      <c r="D24" s="215"/>
      <c r="E24" s="205">
        <v>200</v>
      </c>
      <c r="F24" s="1">
        <v>200</v>
      </c>
    </row>
    <row r="25" spans="1:7" s="2" customFormat="1" x14ac:dyDescent="0.35">
      <c r="A25" s="40">
        <v>45</v>
      </c>
      <c r="B25" s="34" t="s">
        <v>109</v>
      </c>
      <c r="C25" s="34"/>
      <c r="D25" s="34"/>
      <c r="E25" s="34">
        <v>4300</v>
      </c>
    </row>
    <row r="26" spans="1:7" ht="6.75" customHeight="1" x14ac:dyDescent="0.35">
      <c r="A26" s="40">
        <v>46</v>
      </c>
      <c r="D26" s="1"/>
    </row>
    <row r="27" spans="1:7" s="2" customFormat="1" x14ac:dyDescent="0.35">
      <c r="A27" s="40">
        <v>51</v>
      </c>
      <c r="B27" s="34" t="s">
        <v>17</v>
      </c>
      <c r="C27" s="34"/>
      <c r="D27" s="34"/>
      <c r="E27" s="44">
        <v>12800</v>
      </c>
      <c r="G27" s="1">
        <v>12800</v>
      </c>
    </row>
    <row r="28" spans="1:7" ht="6.75" customHeight="1" x14ac:dyDescent="0.35">
      <c r="A28" s="40">
        <v>52</v>
      </c>
    </row>
    <row r="29" spans="1:7" x14ac:dyDescent="0.35">
      <c r="A29" s="40">
        <v>53</v>
      </c>
      <c r="B29" s="2" t="s">
        <v>86</v>
      </c>
    </row>
    <row r="30" spans="1:7" x14ac:dyDescent="0.35">
      <c r="A30" s="40">
        <v>54</v>
      </c>
      <c r="C30" s="200" t="s">
        <v>87</v>
      </c>
      <c r="D30" s="209"/>
      <c r="E30" s="197">
        <v>400</v>
      </c>
      <c r="F30" s="1">
        <v>400</v>
      </c>
    </row>
    <row r="31" spans="1:7" x14ac:dyDescent="0.35">
      <c r="A31" s="40">
        <v>55</v>
      </c>
      <c r="C31" s="208" t="s">
        <v>83</v>
      </c>
      <c r="D31" s="215"/>
      <c r="E31" s="205">
        <v>150</v>
      </c>
      <c r="F31" s="1">
        <v>150</v>
      </c>
    </row>
    <row r="32" spans="1:7" s="2" customFormat="1" x14ac:dyDescent="0.35">
      <c r="A32" s="40">
        <v>56</v>
      </c>
      <c r="B32" s="34" t="s">
        <v>82</v>
      </c>
      <c r="C32" s="34"/>
      <c r="D32" s="34"/>
      <c r="E32" s="34">
        <v>550</v>
      </c>
    </row>
    <row r="33" spans="1:8" ht="5.25" customHeight="1" x14ac:dyDescent="0.35">
      <c r="A33" s="40">
        <v>57</v>
      </c>
    </row>
    <row r="34" spans="1:8" x14ac:dyDescent="0.35">
      <c r="A34" s="40">
        <v>58</v>
      </c>
      <c r="B34" s="34" t="s">
        <v>18</v>
      </c>
      <c r="C34" s="20"/>
      <c r="D34" s="20"/>
      <c r="E34" s="49">
        <v>200</v>
      </c>
      <c r="H34" s="1">
        <v>200</v>
      </c>
    </row>
    <row r="35" spans="1:8" ht="6" customHeight="1" x14ac:dyDescent="0.35">
      <c r="A35" s="40">
        <v>59</v>
      </c>
    </row>
    <row r="36" spans="1:8" x14ac:dyDescent="0.35">
      <c r="A36" s="40">
        <v>60</v>
      </c>
      <c r="B36" s="2" t="s">
        <v>19</v>
      </c>
    </row>
    <row r="37" spans="1:8" x14ac:dyDescent="0.35">
      <c r="A37" s="40">
        <v>61</v>
      </c>
      <c r="C37" s="200" t="s">
        <v>20</v>
      </c>
      <c r="D37" s="209"/>
      <c r="E37" s="220">
        <v>200</v>
      </c>
      <c r="F37" s="1">
        <v>200</v>
      </c>
    </row>
    <row r="38" spans="1:8" x14ac:dyDescent="0.35">
      <c r="A38" s="40">
        <v>62</v>
      </c>
      <c r="C38" s="204" t="s">
        <v>21</v>
      </c>
      <c r="D38" s="212"/>
      <c r="E38" s="218">
        <v>800</v>
      </c>
      <c r="F38" s="1">
        <v>800</v>
      </c>
    </row>
    <row r="39" spans="1:8" x14ac:dyDescent="0.35">
      <c r="A39" s="40">
        <v>63</v>
      </c>
      <c r="C39" s="204" t="s">
        <v>22</v>
      </c>
      <c r="D39" s="212"/>
      <c r="E39" s="218">
        <v>1000</v>
      </c>
      <c r="H39" s="1">
        <v>1000</v>
      </c>
    </row>
    <row r="40" spans="1:8" x14ac:dyDescent="0.35">
      <c r="A40" s="40">
        <v>64</v>
      </c>
      <c r="C40" s="204" t="s">
        <v>23</v>
      </c>
      <c r="D40" s="212"/>
      <c r="E40" s="218">
        <v>3000</v>
      </c>
      <c r="H40" s="1">
        <v>3000</v>
      </c>
    </row>
    <row r="41" spans="1:8" x14ac:dyDescent="0.35">
      <c r="C41" s="204" t="s">
        <v>102</v>
      </c>
      <c r="D41" s="212"/>
      <c r="E41" s="218">
        <v>200</v>
      </c>
      <c r="F41" s="1">
        <v>200</v>
      </c>
    </row>
    <row r="42" spans="1:8" x14ac:dyDescent="0.35">
      <c r="C42" s="204" t="s">
        <v>133</v>
      </c>
      <c r="D42" s="212"/>
      <c r="E42" s="218">
        <v>0</v>
      </c>
      <c r="F42" s="1">
        <v>0</v>
      </c>
    </row>
    <row r="43" spans="1:8" x14ac:dyDescent="0.35">
      <c r="A43" s="40">
        <v>65</v>
      </c>
      <c r="C43" s="208" t="s">
        <v>106</v>
      </c>
      <c r="D43" s="215"/>
      <c r="E43" s="219">
        <v>1575</v>
      </c>
      <c r="F43" s="1">
        <v>1575</v>
      </c>
    </row>
    <row r="44" spans="1:8" s="2" customFormat="1" x14ac:dyDescent="0.35">
      <c r="A44" s="40">
        <v>66</v>
      </c>
      <c r="B44" s="34" t="s">
        <v>24</v>
      </c>
      <c r="C44" s="34"/>
      <c r="D44" s="34"/>
      <c r="E44" s="34">
        <v>6775</v>
      </c>
    </row>
    <row r="45" spans="1:8" ht="6" customHeight="1" x14ac:dyDescent="0.35">
      <c r="A45" s="40">
        <v>67</v>
      </c>
    </row>
    <row r="46" spans="1:8" x14ac:dyDescent="0.35">
      <c r="A46" s="40">
        <v>68</v>
      </c>
      <c r="B46" s="2" t="s">
        <v>25</v>
      </c>
    </row>
    <row r="47" spans="1:8" ht="14.4" customHeight="1" x14ac:dyDescent="0.35">
      <c r="A47" s="40">
        <v>69</v>
      </c>
      <c r="C47" s="200" t="s">
        <v>26</v>
      </c>
      <c r="D47" s="209"/>
      <c r="E47" s="220">
        <v>3500</v>
      </c>
      <c r="F47" s="1">
        <v>3500</v>
      </c>
    </row>
    <row r="48" spans="1:8" x14ac:dyDescent="0.35">
      <c r="A48" s="40">
        <v>70</v>
      </c>
      <c r="C48" s="204" t="s">
        <v>27</v>
      </c>
      <c r="D48" s="212"/>
      <c r="E48" s="201">
        <v>3250</v>
      </c>
      <c r="F48" s="1">
        <v>3250</v>
      </c>
    </row>
    <row r="49" spans="1:6" ht="14.5" customHeight="1" x14ac:dyDescent="0.35">
      <c r="A49" s="40">
        <v>73</v>
      </c>
      <c r="C49" s="204" t="s">
        <v>28</v>
      </c>
      <c r="D49" s="212"/>
      <c r="E49" s="218">
        <v>13000</v>
      </c>
      <c r="F49" s="1">
        <v>13000</v>
      </c>
    </row>
    <row r="50" spans="1:6" x14ac:dyDescent="0.35">
      <c r="A50" s="40">
        <v>74</v>
      </c>
      <c r="C50" s="204" t="s">
        <v>29</v>
      </c>
      <c r="D50" s="212"/>
      <c r="E50" s="218">
        <v>1000</v>
      </c>
      <c r="F50" s="1">
        <v>1000</v>
      </c>
    </row>
    <row r="51" spans="1:6" x14ac:dyDescent="0.35">
      <c r="A51" s="40">
        <v>75</v>
      </c>
      <c r="C51" s="208" t="s">
        <v>30</v>
      </c>
      <c r="D51" s="215"/>
      <c r="E51" s="219">
        <v>1700</v>
      </c>
      <c r="F51" s="1">
        <v>1700</v>
      </c>
    </row>
    <row r="52" spans="1:6" ht="14.5" customHeight="1" x14ac:dyDescent="0.35">
      <c r="A52" s="40">
        <v>73</v>
      </c>
      <c r="C52" s="204" t="s">
        <v>215</v>
      </c>
      <c r="D52" s="212"/>
      <c r="E52" s="218">
        <v>0</v>
      </c>
      <c r="F52" s="1">
        <v>0</v>
      </c>
    </row>
    <row r="53" spans="1:6" s="2" customFormat="1" x14ac:dyDescent="0.35">
      <c r="A53" s="40">
        <v>76</v>
      </c>
      <c r="B53" s="34" t="s">
        <v>32</v>
      </c>
      <c r="C53" s="34"/>
      <c r="D53" s="34"/>
      <c r="E53" s="34">
        <v>22450</v>
      </c>
    </row>
    <row r="54" spans="1:6" x14ac:dyDescent="0.35">
      <c r="A54" s="40">
        <v>77</v>
      </c>
      <c r="B54" s="34" t="s">
        <v>81</v>
      </c>
      <c r="C54" s="21"/>
      <c r="D54" s="21"/>
      <c r="E54" s="34">
        <v>52525</v>
      </c>
    </row>
    <row r="55" spans="1:6" ht="8.25" customHeight="1" x14ac:dyDescent="0.35">
      <c r="A55" s="40">
        <v>78</v>
      </c>
    </row>
    <row r="56" spans="1:6" ht="30" customHeight="1" x14ac:dyDescent="0.35">
      <c r="A56" s="40">
        <v>79</v>
      </c>
      <c r="B56" s="5" t="s">
        <v>31</v>
      </c>
    </row>
    <row r="57" spans="1:6" ht="15" customHeight="1" x14ac:dyDescent="0.35">
      <c r="A57" s="40">
        <v>80</v>
      </c>
      <c r="B57" s="2" t="s">
        <v>110</v>
      </c>
      <c r="D57" s="46" t="s">
        <v>167</v>
      </c>
    </row>
    <row r="58" spans="1:6" ht="14.5" customHeight="1" x14ac:dyDescent="0.35">
      <c r="A58" s="40">
        <v>81</v>
      </c>
      <c r="C58" s="200" t="s">
        <v>130</v>
      </c>
      <c r="D58" s="209"/>
      <c r="E58" s="226">
        <v>72737</v>
      </c>
    </row>
    <row r="59" spans="1:6" x14ac:dyDescent="0.35">
      <c r="A59" s="40">
        <v>82</v>
      </c>
      <c r="C59" s="204" t="s">
        <v>33</v>
      </c>
      <c r="D59" s="212"/>
      <c r="E59" s="234">
        <v>1500</v>
      </c>
    </row>
    <row r="60" spans="1:6" ht="14.5" customHeight="1" x14ac:dyDescent="0.35">
      <c r="C60" s="204" t="s">
        <v>96</v>
      </c>
      <c r="D60" s="212"/>
      <c r="E60" s="234">
        <v>5564.3805000000002</v>
      </c>
    </row>
    <row r="61" spans="1:6" ht="14" customHeight="1" x14ac:dyDescent="0.35">
      <c r="C61" s="204" t="s">
        <v>126</v>
      </c>
      <c r="D61" s="212"/>
      <c r="E61" s="234">
        <v>16110</v>
      </c>
    </row>
    <row r="62" spans="1:6" ht="14.4" customHeight="1" x14ac:dyDescent="0.35">
      <c r="A62" s="40">
        <v>83</v>
      </c>
      <c r="C62" s="204" t="s">
        <v>127</v>
      </c>
      <c r="D62" s="212"/>
      <c r="E62" s="234">
        <v>2662</v>
      </c>
    </row>
    <row r="63" spans="1:6" x14ac:dyDescent="0.35">
      <c r="C63" s="204" t="s">
        <v>98</v>
      </c>
      <c r="D63" s="212"/>
      <c r="E63" s="234">
        <v>600</v>
      </c>
    </row>
    <row r="64" spans="1:6" x14ac:dyDescent="0.35">
      <c r="C64" s="204" t="s">
        <v>161</v>
      </c>
      <c r="D64" s="212"/>
      <c r="E64" s="234">
        <v>480</v>
      </c>
    </row>
    <row r="65" spans="1:8" x14ac:dyDescent="0.35">
      <c r="A65" s="40">
        <v>85</v>
      </c>
      <c r="C65" s="208" t="s">
        <v>34</v>
      </c>
      <c r="D65" s="215"/>
      <c r="E65" s="242">
        <v>1000</v>
      </c>
      <c r="F65" s="325">
        <v>0.4</v>
      </c>
      <c r="G65" s="325">
        <v>0.2</v>
      </c>
      <c r="H65" s="325">
        <v>0.4</v>
      </c>
    </row>
    <row r="66" spans="1:8" s="2" customFormat="1" x14ac:dyDescent="0.35">
      <c r="A66" s="40">
        <v>86</v>
      </c>
      <c r="B66" s="22" t="s">
        <v>111</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138</v>
      </c>
      <c r="E68" s="36"/>
    </row>
    <row r="69" spans="1:8" x14ac:dyDescent="0.35">
      <c r="A69" s="40">
        <v>89</v>
      </c>
      <c r="C69" s="200" t="s">
        <v>35</v>
      </c>
      <c r="D69" s="209"/>
      <c r="E69" s="220">
        <v>45000</v>
      </c>
    </row>
    <row r="70" spans="1:8" x14ac:dyDescent="0.35">
      <c r="C70" s="204" t="s">
        <v>34</v>
      </c>
      <c r="D70" s="212"/>
      <c r="E70" s="218">
        <v>750</v>
      </c>
    </row>
    <row r="71" spans="1:8" x14ac:dyDescent="0.35">
      <c r="C71" s="204" t="s">
        <v>36</v>
      </c>
      <c r="D71" s="212"/>
      <c r="E71" s="218">
        <v>1500</v>
      </c>
    </row>
    <row r="72" spans="1:8" x14ac:dyDescent="0.35">
      <c r="C72" s="204" t="s">
        <v>161</v>
      </c>
      <c r="D72" s="212"/>
      <c r="E72" s="218">
        <v>480</v>
      </c>
    </row>
    <row r="73" spans="1:8" x14ac:dyDescent="0.35">
      <c r="C73" s="204" t="s">
        <v>98</v>
      </c>
      <c r="D73" s="212"/>
      <c r="E73" s="218">
        <v>350</v>
      </c>
    </row>
    <row r="74" spans="1:8" x14ac:dyDescent="0.35">
      <c r="A74" s="40">
        <v>90</v>
      </c>
      <c r="C74" s="208" t="s">
        <v>166</v>
      </c>
      <c r="D74" s="215"/>
      <c r="E74" s="219">
        <v>2000</v>
      </c>
      <c r="F74" s="325">
        <v>0.4</v>
      </c>
      <c r="G74" s="325">
        <v>0.4</v>
      </c>
      <c r="H74" s="325">
        <v>0.2</v>
      </c>
    </row>
    <row r="75" spans="1:8" s="2" customFormat="1" x14ac:dyDescent="0.35">
      <c r="A75" s="40">
        <v>91</v>
      </c>
      <c r="B75" s="22" t="s">
        <v>139</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121</v>
      </c>
    </row>
    <row r="79" spans="1:8" x14ac:dyDescent="0.35">
      <c r="A79" s="40">
        <v>94</v>
      </c>
      <c r="C79" s="200" t="s">
        <v>35</v>
      </c>
      <c r="D79" s="209"/>
      <c r="E79" s="226">
        <v>20808</v>
      </c>
      <c r="G79" s="1">
        <v>20808</v>
      </c>
    </row>
    <row r="80" spans="1:8" x14ac:dyDescent="0.35">
      <c r="A80" s="40">
        <v>95</v>
      </c>
      <c r="C80" s="208" t="s">
        <v>37</v>
      </c>
      <c r="D80" s="215"/>
      <c r="E80" s="242">
        <v>800</v>
      </c>
      <c r="G80" s="1">
        <v>800</v>
      </c>
    </row>
    <row r="81" spans="1:7" s="2" customFormat="1" x14ac:dyDescent="0.35">
      <c r="A81" s="40">
        <v>96</v>
      </c>
      <c r="B81" s="22" t="s">
        <v>38</v>
      </c>
      <c r="C81" s="22"/>
      <c r="D81" s="22"/>
      <c r="E81" s="22">
        <v>21608</v>
      </c>
    </row>
    <row r="82" spans="1:7" ht="6" customHeight="1" x14ac:dyDescent="0.35">
      <c r="A82" s="40">
        <v>97</v>
      </c>
    </row>
    <row r="83" spans="1:7" ht="6" customHeight="1" x14ac:dyDescent="0.35">
      <c r="A83" s="40">
        <v>106</v>
      </c>
    </row>
    <row r="84" spans="1:7" x14ac:dyDescent="0.35">
      <c r="A84" s="40">
        <v>107</v>
      </c>
      <c r="B84" s="2" t="s">
        <v>39</v>
      </c>
    </row>
    <row r="85" spans="1:7" x14ac:dyDescent="0.35">
      <c r="A85" s="40">
        <v>108</v>
      </c>
      <c r="C85" s="200" t="s">
        <v>100</v>
      </c>
      <c r="D85" s="209"/>
      <c r="E85" s="226">
        <v>15918</v>
      </c>
      <c r="F85" s="1">
        <v>15918</v>
      </c>
    </row>
    <row r="86" spans="1:7" x14ac:dyDescent="0.35">
      <c r="C86" s="200" t="s">
        <v>170</v>
      </c>
      <c r="D86" s="209"/>
      <c r="E86" s="226">
        <v>3000</v>
      </c>
      <c r="F86" s="1">
        <v>3000</v>
      </c>
    </row>
    <row r="87" spans="1:7" x14ac:dyDescent="0.35">
      <c r="A87" s="40">
        <v>109</v>
      </c>
      <c r="C87" s="204" t="s">
        <v>40</v>
      </c>
      <c r="D87" s="212"/>
      <c r="E87" s="201">
        <v>500</v>
      </c>
      <c r="F87" s="1">
        <v>500</v>
      </c>
    </row>
    <row r="88" spans="1:7" x14ac:dyDescent="0.35">
      <c r="A88" s="40">
        <v>110</v>
      </c>
      <c r="C88" s="204" t="s">
        <v>41</v>
      </c>
      <c r="D88" s="212"/>
      <c r="E88" s="234">
        <v>13290</v>
      </c>
      <c r="F88" s="1">
        <v>13290</v>
      </c>
    </row>
    <row r="89" spans="1:7" x14ac:dyDescent="0.35">
      <c r="A89" s="40">
        <v>110</v>
      </c>
      <c r="C89" s="1658" t="s">
        <v>210</v>
      </c>
      <c r="D89" s="1658"/>
      <c r="E89" s="234">
        <v>3000</v>
      </c>
      <c r="F89" s="1">
        <v>3000</v>
      </c>
    </row>
    <row r="90" spans="1:7" x14ac:dyDescent="0.35">
      <c r="C90" s="204" t="s">
        <v>208</v>
      </c>
      <c r="D90" s="212"/>
      <c r="E90" s="234">
        <v>3350</v>
      </c>
      <c r="F90" s="1">
        <v>3350</v>
      </c>
    </row>
    <row r="91" spans="1:7" x14ac:dyDescent="0.35">
      <c r="A91" s="40">
        <v>111</v>
      </c>
      <c r="C91" s="204" t="s">
        <v>42</v>
      </c>
      <c r="D91" s="212"/>
      <c r="E91" s="234">
        <v>7484</v>
      </c>
      <c r="F91" s="1">
        <v>7484</v>
      </c>
    </row>
    <row r="92" spans="1:7" x14ac:dyDescent="0.35">
      <c r="A92" s="40">
        <v>112</v>
      </c>
      <c r="C92" s="204" t="s">
        <v>43</v>
      </c>
      <c r="D92" s="212"/>
      <c r="E92" s="234">
        <v>1785</v>
      </c>
      <c r="G92" s="1">
        <v>1785</v>
      </c>
    </row>
    <row r="93" spans="1:7" x14ac:dyDescent="0.35">
      <c r="C93" s="204" t="s">
        <v>97</v>
      </c>
      <c r="D93" s="212"/>
      <c r="E93" s="218">
        <v>0</v>
      </c>
      <c r="G93" s="1">
        <v>0</v>
      </c>
    </row>
    <row r="94" spans="1:7" x14ac:dyDescent="0.35">
      <c r="A94" s="40">
        <v>113</v>
      </c>
      <c r="C94" s="208" t="s">
        <v>101</v>
      </c>
      <c r="D94" s="215"/>
      <c r="E94" s="242">
        <v>2759</v>
      </c>
      <c r="F94" s="1">
        <v>2759</v>
      </c>
    </row>
    <row r="95" spans="1:7" s="2" customFormat="1" x14ac:dyDescent="0.35">
      <c r="A95" s="40">
        <v>114</v>
      </c>
      <c r="B95" s="22" t="s">
        <v>44</v>
      </c>
      <c r="C95" s="22"/>
      <c r="D95" s="22"/>
      <c r="E95" s="22">
        <v>51086</v>
      </c>
    </row>
    <row r="96" spans="1:7" ht="6.75" customHeight="1" x14ac:dyDescent="0.35">
      <c r="A96" s="40">
        <v>115</v>
      </c>
    </row>
    <row r="97" spans="1:9" ht="14.25" customHeight="1" x14ac:dyDescent="0.35">
      <c r="A97" s="40">
        <v>116</v>
      </c>
      <c r="B97" s="2" t="s">
        <v>45</v>
      </c>
      <c r="E97" s="24"/>
      <c r="F97" s="325">
        <v>0.33300000000000002</v>
      </c>
      <c r="G97" s="325">
        <v>0.33300000000000002</v>
      </c>
      <c r="H97" s="325">
        <v>0.33400000000000002</v>
      </c>
    </row>
    <row r="98" spans="1:9" x14ac:dyDescent="0.35">
      <c r="C98" s="204" t="s">
        <v>134</v>
      </c>
      <c r="D98" s="212"/>
      <c r="E98" s="226">
        <v>35360</v>
      </c>
      <c r="F98" s="1">
        <v>11774.880000000001</v>
      </c>
      <c r="G98" s="1">
        <v>11774.880000000001</v>
      </c>
      <c r="H98" s="1">
        <v>11810.24</v>
      </c>
    </row>
    <row r="99" spans="1:9" x14ac:dyDescent="0.35">
      <c r="A99" s="40">
        <v>122</v>
      </c>
      <c r="C99" s="204" t="s">
        <v>136</v>
      </c>
      <c r="D99" s="212"/>
      <c r="E99" s="218">
        <v>1000</v>
      </c>
      <c r="F99" s="1">
        <v>333</v>
      </c>
      <c r="G99" s="1">
        <v>333</v>
      </c>
      <c r="H99" s="1">
        <v>334</v>
      </c>
    </row>
    <row r="100" spans="1:9" x14ac:dyDescent="0.35">
      <c r="A100" s="40">
        <v>118</v>
      </c>
      <c r="C100" s="204" t="s">
        <v>47</v>
      </c>
      <c r="D100" s="212"/>
      <c r="E100" s="234">
        <v>33465</v>
      </c>
      <c r="I100" s="1">
        <v>33465</v>
      </c>
    </row>
    <row r="101" spans="1:9" x14ac:dyDescent="0.35">
      <c r="A101" s="40">
        <v>119</v>
      </c>
      <c r="C101" s="204" t="s">
        <v>48</v>
      </c>
      <c r="D101" s="212"/>
      <c r="E101" s="218">
        <v>400</v>
      </c>
      <c r="F101" s="1">
        <v>133.20000000000002</v>
      </c>
      <c r="G101" s="1">
        <v>133.20000000000002</v>
      </c>
      <c r="H101" s="1">
        <v>133.6</v>
      </c>
    </row>
    <row r="102" spans="1:9" x14ac:dyDescent="0.35">
      <c r="A102" s="40">
        <v>120</v>
      </c>
      <c r="C102" s="204" t="s">
        <v>90</v>
      </c>
      <c r="D102" s="212"/>
      <c r="E102" s="218">
        <v>700</v>
      </c>
      <c r="F102" s="1">
        <v>233.10000000000002</v>
      </c>
      <c r="G102" s="1">
        <v>233.10000000000002</v>
      </c>
      <c r="H102" s="1">
        <v>233.8</v>
      </c>
    </row>
    <row r="103" spans="1:9" ht="14" customHeight="1" x14ac:dyDescent="0.35">
      <c r="C103" s="204" t="s">
        <v>105</v>
      </c>
      <c r="D103" s="212"/>
      <c r="E103" s="234">
        <v>925</v>
      </c>
      <c r="F103" s="1">
        <v>925</v>
      </c>
    </row>
    <row r="104" spans="1:9" x14ac:dyDescent="0.35">
      <c r="C104" s="1658" t="s">
        <v>135</v>
      </c>
      <c r="D104" s="1658"/>
      <c r="E104" s="249">
        <v>11138</v>
      </c>
      <c r="F104" s="1">
        <v>3708.9540000000002</v>
      </c>
      <c r="G104" s="1">
        <v>3708.9540000000002</v>
      </c>
      <c r="H104" s="1">
        <v>3720.0920000000001</v>
      </c>
    </row>
    <row r="105" spans="1:9" ht="14.5" customHeight="1" x14ac:dyDescent="0.35">
      <c r="A105" s="40">
        <v>123</v>
      </c>
      <c r="C105" s="204" t="s">
        <v>49</v>
      </c>
      <c r="D105" s="212"/>
      <c r="E105" s="234">
        <v>14502</v>
      </c>
      <c r="F105" s="1">
        <v>4829.1660000000002</v>
      </c>
      <c r="G105" s="1">
        <v>4829.1660000000002</v>
      </c>
      <c r="H105" s="1">
        <v>4843.6680000000006</v>
      </c>
    </row>
    <row r="106" spans="1:9" ht="14.4" customHeight="1" x14ac:dyDescent="0.35">
      <c r="A106" s="40">
        <v>124</v>
      </c>
      <c r="C106" s="204" t="s">
        <v>50</v>
      </c>
      <c r="D106" s="212"/>
      <c r="E106" s="218">
        <v>3384</v>
      </c>
      <c r="F106" s="1">
        <v>1126.8720000000001</v>
      </c>
      <c r="G106" s="1">
        <v>1126.8720000000001</v>
      </c>
      <c r="H106" s="1">
        <v>1130.2560000000001</v>
      </c>
    </row>
    <row r="107" spans="1:9" x14ac:dyDescent="0.35">
      <c r="A107" s="40">
        <v>125</v>
      </c>
      <c r="C107" s="204" t="s">
        <v>51</v>
      </c>
      <c r="D107" s="212"/>
      <c r="E107" s="50">
        <v>2000</v>
      </c>
      <c r="F107" s="1">
        <v>2000</v>
      </c>
    </row>
    <row r="108" spans="1:9" s="2" customFormat="1" x14ac:dyDescent="0.35">
      <c r="A108" s="40">
        <v>127</v>
      </c>
      <c r="B108" s="22" t="s">
        <v>46</v>
      </c>
      <c r="C108" s="22"/>
      <c r="D108" s="22"/>
      <c r="E108" s="22">
        <v>102874</v>
      </c>
    </row>
    <row r="109" spans="1:9" x14ac:dyDescent="0.35">
      <c r="A109" s="40">
        <v>128</v>
      </c>
      <c r="B109" s="22" t="s">
        <v>52</v>
      </c>
      <c r="C109" s="22"/>
      <c r="D109" s="22"/>
      <c r="E109" s="22">
        <v>326301.38049999997</v>
      </c>
    </row>
    <row r="110" spans="1:9" ht="8.25" customHeight="1" x14ac:dyDescent="0.35">
      <c r="A110" s="40">
        <v>129</v>
      </c>
    </row>
    <row r="111" spans="1:9" ht="18.5" x14ac:dyDescent="0.35">
      <c r="A111" s="40">
        <v>130</v>
      </c>
      <c r="B111" s="5" t="s">
        <v>53</v>
      </c>
    </row>
    <row r="112" spans="1:9" x14ac:dyDescent="0.35">
      <c r="A112" s="40">
        <v>131</v>
      </c>
      <c r="B112" s="2" t="s">
        <v>54</v>
      </c>
    </row>
    <row r="113" spans="1:9" ht="14.4" customHeight="1" x14ac:dyDescent="0.35">
      <c r="A113" s="40">
        <v>132</v>
      </c>
      <c r="C113" s="204" t="s">
        <v>56</v>
      </c>
      <c r="D113" s="212"/>
      <c r="E113" s="220">
        <v>10500</v>
      </c>
      <c r="I113" s="1">
        <v>10500</v>
      </c>
    </row>
    <row r="114" spans="1:9" ht="14.4" customHeight="1" x14ac:dyDescent="0.35">
      <c r="A114" s="40">
        <v>133</v>
      </c>
      <c r="C114" s="204" t="s">
        <v>57</v>
      </c>
      <c r="D114" s="212"/>
      <c r="E114" s="218">
        <v>8160</v>
      </c>
      <c r="I114" s="1">
        <v>8160</v>
      </c>
    </row>
    <row r="115" spans="1:9" x14ac:dyDescent="0.35">
      <c r="A115" s="40">
        <v>134</v>
      </c>
      <c r="C115" s="204" t="s">
        <v>58</v>
      </c>
      <c r="D115" s="212"/>
      <c r="E115" s="201">
        <v>4500</v>
      </c>
      <c r="I115" s="1">
        <v>4500</v>
      </c>
    </row>
    <row r="116" spans="1:9" ht="14.4" customHeight="1" x14ac:dyDescent="0.35">
      <c r="A116" s="40">
        <v>135</v>
      </c>
      <c r="C116" s="204" t="s">
        <v>59</v>
      </c>
      <c r="D116" s="212"/>
      <c r="E116" s="201">
        <v>816</v>
      </c>
      <c r="I116" s="1">
        <v>816</v>
      </c>
    </row>
    <row r="117" spans="1:9" ht="14.4" customHeight="1" x14ac:dyDescent="0.35">
      <c r="A117" s="40">
        <v>136</v>
      </c>
      <c r="C117" s="204" t="s">
        <v>60</v>
      </c>
      <c r="D117" s="212"/>
      <c r="E117" s="218">
        <v>300</v>
      </c>
      <c r="I117" s="1">
        <v>300</v>
      </c>
    </row>
    <row r="118" spans="1:9" ht="14.4" customHeight="1" x14ac:dyDescent="0.35">
      <c r="A118" s="40">
        <v>137</v>
      </c>
      <c r="C118" s="204" t="s">
        <v>61</v>
      </c>
      <c r="D118" s="212"/>
      <c r="E118" s="218">
        <v>600</v>
      </c>
      <c r="I118" s="1">
        <v>600</v>
      </c>
    </row>
    <row r="119" spans="1:9" ht="14.4" customHeight="1" x14ac:dyDescent="0.35">
      <c r="A119" s="40">
        <v>138</v>
      </c>
      <c r="C119" s="204" t="s">
        <v>95</v>
      </c>
      <c r="D119" s="212"/>
      <c r="E119" s="205">
        <v>4500</v>
      </c>
      <c r="I119" s="1">
        <v>4500</v>
      </c>
    </row>
    <row r="120" spans="1:9" s="2" customFormat="1" x14ac:dyDescent="0.35">
      <c r="A120" s="40">
        <v>139</v>
      </c>
      <c r="B120" s="25" t="s">
        <v>62</v>
      </c>
      <c r="C120" s="25"/>
      <c r="D120" s="25"/>
      <c r="E120" s="25">
        <v>29376</v>
      </c>
    </row>
    <row r="121" spans="1:9" s="2" customFormat="1" ht="6.75" customHeight="1" x14ac:dyDescent="0.35">
      <c r="A121" s="40">
        <v>140</v>
      </c>
      <c r="B121" s="13"/>
      <c r="C121" s="13"/>
      <c r="D121" s="13"/>
      <c r="E121" s="13"/>
    </row>
    <row r="122" spans="1:9" x14ac:dyDescent="0.35">
      <c r="A122" s="40">
        <v>141</v>
      </c>
      <c r="B122" s="2" t="s">
        <v>63</v>
      </c>
    </row>
    <row r="123" spans="1:9" x14ac:dyDescent="0.35">
      <c r="A123" s="40">
        <v>142</v>
      </c>
      <c r="C123" s="200" t="s">
        <v>64</v>
      </c>
      <c r="D123" s="209"/>
      <c r="E123" s="220">
        <v>16899.940000000002</v>
      </c>
      <c r="I123" s="1">
        <v>16899.940000000002</v>
      </c>
    </row>
    <row r="124" spans="1:9" x14ac:dyDescent="0.35">
      <c r="A124" s="40">
        <v>143</v>
      </c>
      <c r="C124" s="204" t="s">
        <v>65</v>
      </c>
      <c r="D124" s="212"/>
      <c r="E124" s="201">
        <v>4500</v>
      </c>
      <c r="I124" s="1">
        <v>4500</v>
      </c>
    </row>
    <row r="125" spans="1:9" x14ac:dyDescent="0.35">
      <c r="A125" s="40">
        <v>144</v>
      </c>
      <c r="C125" s="204" t="s">
        <v>88</v>
      </c>
      <c r="D125" s="212"/>
      <c r="E125" s="201">
        <v>4000</v>
      </c>
      <c r="I125" s="1">
        <v>4000</v>
      </c>
    </row>
    <row r="126" spans="1:9" x14ac:dyDescent="0.35">
      <c r="A126" s="40">
        <v>145</v>
      </c>
      <c r="C126" s="1658" t="s">
        <v>91</v>
      </c>
      <c r="D126" s="1658"/>
      <c r="E126" s="218">
        <v>8000</v>
      </c>
      <c r="I126" s="1">
        <v>8000</v>
      </c>
    </row>
    <row r="127" spans="1:9" x14ac:dyDescent="0.35">
      <c r="A127" s="40">
        <v>146</v>
      </c>
      <c r="C127" s="208" t="s">
        <v>66</v>
      </c>
      <c r="D127" s="215"/>
      <c r="E127" s="205">
        <v>8000</v>
      </c>
      <c r="I127" s="1">
        <v>8000</v>
      </c>
    </row>
    <row r="128" spans="1:9" s="2" customFormat="1" x14ac:dyDescent="0.35">
      <c r="A128" s="40">
        <v>150</v>
      </c>
      <c r="B128" s="25" t="s">
        <v>67</v>
      </c>
      <c r="C128" s="25"/>
      <c r="D128" s="25"/>
      <c r="E128" s="25">
        <v>41399.94</v>
      </c>
    </row>
    <row r="129" spans="1:9" x14ac:dyDescent="0.35">
      <c r="A129" s="40">
        <v>151</v>
      </c>
      <c r="B129" s="25" t="s">
        <v>68</v>
      </c>
      <c r="C129" s="25"/>
      <c r="D129" s="25"/>
      <c r="E129" s="25">
        <v>70775.94</v>
      </c>
    </row>
    <row r="130" spans="1:9" ht="4.5" customHeight="1" x14ac:dyDescent="0.35">
      <c r="A130" s="40">
        <v>152</v>
      </c>
    </row>
    <row r="131" spans="1:9" ht="18.5" x14ac:dyDescent="0.35">
      <c r="A131" s="40">
        <v>153</v>
      </c>
      <c r="B131" s="5" t="s">
        <v>69</v>
      </c>
    </row>
    <row r="132" spans="1:9" x14ac:dyDescent="0.35">
      <c r="A132" s="40">
        <v>154</v>
      </c>
      <c r="B132" s="2" t="s">
        <v>70</v>
      </c>
    </row>
    <row r="133" spans="1:9" x14ac:dyDescent="0.35">
      <c r="A133" s="40">
        <v>156</v>
      </c>
      <c r="C133" s="204" t="s">
        <v>107</v>
      </c>
      <c r="D133" s="212"/>
      <c r="E133" s="218">
        <v>12000</v>
      </c>
    </row>
    <row r="134" spans="1:9" x14ac:dyDescent="0.35">
      <c r="A134" s="40">
        <v>157</v>
      </c>
      <c r="C134" s="204" t="s">
        <v>112</v>
      </c>
      <c r="D134" s="212"/>
      <c r="E134" s="218">
        <v>521</v>
      </c>
    </row>
    <row r="135" spans="1:9" s="2" customFormat="1" x14ac:dyDescent="0.35">
      <c r="A135" s="40">
        <v>159</v>
      </c>
      <c r="B135" s="27" t="s">
        <v>73</v>
      </c>
      <c r="C135" s="27"/>
      <c r="D135" s="27"/>
      <c r="E135" s="27">
        <v>12521</v>
      </c>
    </row>
    <row r="136" spans="1:9" ht="7.5" customHeight="1" x14ac:dyDescent="0.35">
      <c r="A136" s="40">
        <v>160</v>
      </c>
      <c r="D136" s="1"/>
    </row>
    <row r="137" spans="1:9" x14ac:dyDescent="0.35">
      <c r="A137" s="40">
        <v>161</v>
      </c>
      <c r="B137" s="29" t="s">
        <v>74</v>
      </c>
      <c r="C137" s="30"/>
      <c r="D137" s="30"/>
      <c r="E137" s="29">
        <v>513453.32049999997</v>
      </c>
    </row>
    <row r="138" spans="1:9" x14ac:dyDescent="0.35">
      <c r="A138" s="40">
        <v>162</v>
      </c>
      <c r="B138" s="29" t="s">
        <v>75</v>
      </c>
      <c r="C138" s="30"/>
      <c r="D138" s="30"/>
      <c r="E138" s="29">
        <v>-153</v>
      </c>
    </row>
    <row r="139" spans="1:9" ht="15" thickBot="1" x14ac:dyDescent="0.4"/>
    <row r="140" spans="1:9" x14ac:dyDescent="0.35">
      <c r="B140" s="74" t="s">
        <v>122</v>
      </c>
      <c r="C140" s="75"/>
      <c r="D140" s="75"/>
      <c r="E140" s="77">
        <v>513300</v>
      </c>
    </row>
    <row r="141" spans="1:9" x14ac:dyDescent="0.35">
      <c r="B141" s="81" t="s">
        <v>114</v>
      </c>
      <c r="C141" s="69"/>
      <c r="D141" s="69"/>
      <c r="E141" s="71">
        <v>500932.32049999997</v>
      </c>
      <c r="F141" s="329">
        <v>164734.65720000005</v>
      </c>
      <c r="G141" s="329">
        <v>103945.78110000001</v>
      </c>
      <c r="H141" s="329">
        <v>128013.94220000002</v>
      </c>
      <c r="I141" s="329">
        <v>104240.94</v>
      </c>
    </row>
    <row r="142" spans="1:9" ht="15" thickBot="1" x14ac:dyDescent="0.4">
      <c r="B142" s="83" t="s">
        <v>123</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519" t="s">
        <v>79</v>
      </c>
      <c r="B1" s="1519"/>
      <c r="C1" s="1519"/>
      <c r="D1" s="1519"/>
      <c r="E1" s="1519"/>
      <c r="F1" s="1519"/>
      <c r="G1" s="1519"/>
    </row>
    <row r="4" spans="1:9" ht="29.5" customHeight="1" x14ac:dyDescent="0.35">
      <c r="C4" s="1454" t="str">
        <f>Bud_Yr&amp;" Budget"</f>
        <v>2026 Budget</v>
      </c>
      <c r="D4" s="1456" t="s">
        <v>320</v>
      </c>
      <c r="E4" s="1456" t="str">
        <f>Bud_Yr-1&amp;" Budget"</f>
        <v>2025 Budget</v>
      </c>
      <c r="F4" s="1452" t="str">
        <f>Bud_Yr&amp;" Budget vs             "&amp;Bud_Yr-1&amp;" Budget"</f>
        <v>2026 Budget vs             2025 Budget</v>
      </c>
      <c r="G4" s="1453"/>
    </row>
    <row r="5" spans="1:9" x14ac:dyDescent="0.35">
      <c r="C5" s="1659"/>
      <c r="D5" s="1457"/>
      <c r="E5" s="1660"/>
      <c r="F5" s="468" t="s">
        <v>103</v>
      </c>
      <c r="G5" s="469" t="s">
        <v>104</v>
      </c>
    </row>
    <row r="6" spans="1:9" x14ac:dyDescent="0.35">
      <c r="B6" s="470" t="s">
        <v>247</v>
      </c>
      <c r="C6" s="612">
        <f>+'New Year-Full Year'!Q16</f>
        <v>10000</v>
      </c>
      <c r="D6" s="612">
        <f>+E6+1500</f>
        <v>11500</v>
      </c>
      <c r="E6" s="612">
        <f>+'New Year-Full Year'!R16</f>
        <v>10000</v>
      </c>
      <c r="F6" s="471">
        <f>+C6-E6</f>
        <v>0</v>
      </c>
      <c r="G6" s="472">
        <f>IF(E6=0,"NA",(+C6-E6)/E6)</f>
        <v>0</v>
      </c>
      <c r="I6" s="497"/>
    </row>
    <row r="7" spans="1:9" x14ac:dyDescent="0.35">
      <c r="B7" s="473" t="s">
        <v>248</v>
      </c>
      <c r="C7" s="234" t="e">
        <f>+'New Year-Full Year'!#REF!</f>
        <v>#REF!</v>
      </c>
      <c r="D7" s="234" t="e">
        <f>+E7</f>
        <v>#REF!</v>
      </c>
      <c r="E7" s="234" t="e">
        <f>+'New Year-Full Year'!#REF!</f>
        <v>#REF!</v>
      </c>
      <c r="F7" s="202" t="e">
        <f>+C7-E7</f>
        <v>#REF!</v>
      </c>
      <c r="G7" s="474" t="e">
        <f>IF(E7=0,"NA",(+C7-E7)/E7)</f>
        <v>#REF!</v>
      </c>
    </row>
    <row r="8" spans="1:9" x14ac:dyDescent="0.35">
      <c r="B8" s="473" t="s">
        <v>249</v>
      </c>
      <c r="C8" s="234">
        <f>+'New Year-Full Year'!Q17</f>
        <v>500</v>
      </c>
      <c r="D8" s="234">
        <f>+E8+1000</f>
        <v>1500</v>
      </c>
      <c r="E8" s="234">
        <f>+'New Year-Full Year'!R17</f>
        <v>500</v>
      </c>
      <c r="F8" s="202">
        <f t="shared" ref="F8:F14" si="0">+C8-E8</f>
        <v>0</v>
      </c>
      <c r="G8" s="474">
        <f t="shared" ref="G8:G14" si="1">IF(E8=0,"NA",(+C8-E8)/E8)</f>
        <v>0</v>
      </c>
    </row>
    <row r="9" spans="1:9" x14ac:dyDescent="0.35">
      <c r="B9" s="473" t="s">
        <v>255</v>
      </c>
      <c r="C9" s="234">
        <f>+'New Year-Full Year'!Q18</f>
        <v>1500</v>
      </c>
      <c r="D9" s="234">
        <f>+E9+1000</f>
        <v>2500</v>
      </c>
      <c r="E9" s="234">
        <f>+'New Year-Full Year'!R18</f>
        <v>1500</v>
      </c>
      <c r="F9" s="202">
        <f t="shared" si="0"/>
        <v>0</v>
      </c>
      <c r="G9" s="474">
        <f t="shared" si="1"/>
        <v>0</v>
      </c>
    </row>
    <row r="10" spans="1:9" x14ac:dyDescent="0.35">
      <c r="B10" s="473" t="s">
        <v>250</v>
      </c>
      <c r="C10" s="234">
        <f>+'New Year-Full Year'!Q19</f>
        <v>750</v>
      </c>
      <c r="D10" s="234">
        <f>+E10</f>
        <v>750</v>
      </c>
      <c r="E10" s="234">
        <f>+'New Year-Full Year'!R19</f>
        <v>750</v>
      </c>
      <c r="F10" s="202">
        <f t="shared" si="0"/>
        <v>0</v>
      </c>
      <c r="G10" s="474">
        <f t="shared" si="1"/>
        <v>0</v>
      </c>
    </row>
    <row r="11" spans="1:9" x14ac:dyDescent="0.35">
      <c r="B11" s="473" t="s">
        <v>251</v>
      </c>
      <c r="C11" s="234">
        <f>+'New Year-Full Year'!Q20</f>
        <v>500</v>
      </c>
      <c r="D11" s="234">
        <f>+E11+1000</f>
        <v>1500</v>
      </c>
      <c r="E11" s="234">
        <f>+'New Year-Full Year'!R20</f>
        <v>500</v>
      </c>
      <c r="F11" s="202">
        <f t="shared" si="0"/>
        <v>0</v>
      </c>
      <c r="G11" s="474">
        <f t="shared" si="1"/>
        <v>0</v>
      </c>
    </row>
    <row r="12" spans="1:9" x14ac:dyDescent="0.35">
      <c r="B12" s="473" t="s">
        <v>252</v>
      </c>
      <c r="C12" s="234">
        <f>+'New Year-Full Year'!Q24</f>
        <v>1000</v>
      </c>
      <c r="D12" s="234">
        <f>+E12+500</f>
        <v>1500</v>
      </c>
      <c r="E12" s="234">
        <f>+'New Year-Full Year'!R24</f>
        <v>1000</v>
      </c>
      <c r="F12" s="202">
        <f t="shared" si="0"/>
        <v>0</v>
      </c>
      <c r="G12" s="474">
        <f t="shared" si="1"/>
        <v>0</v>
      </c>
    </row>
    <row r="13" spans="1:9" x14ac:dyDescent="0.35">
      <c r="B13" s="473" t="s">
        <v>253</v>
      </c>
      <c r="C13" s="234">
        <f>+'New Year-Full Year'!Q25</f>
        <v>1000</v>
      </c>
      <c r="D13" s="234">
        <f>+E13+1000</f>
        <v>2000</v>
      </c>
      <c r="E13" s="234">
        <f>+'New Year-Full Year'!R25</f>
        <v>1000</v>
      </c>
      <c r="F13" s="202">
        <f t="shared" si="0"/>
        <v>0</v>
      </c>
      <c r="G13" s="474">
        <f t="shared" si="1"/>
        <v>0</v>
      </c>
    </row>
    <row r="14" spans="1:9" x14ac:dyDescent="0.35">
      <c r="B14" s="473" t="s">
        <v>254</v>
      </c>
      <c r="C14" s="234">
        <f>+'New Year-Full Year'!Q26</f>
        <v>1000</v>
      </c>
      <c r="D14" s="234">
        <f>+E14+500</f>
        <v>1500</v>
      </c>
      <c r="E14" s="234">
        <f>+'New Year-Full Year'!R26</f>
        <v>1000</v>
      </c>
      <c r="F14" s="202">
        <f t="shared" si="0"/>
        <v>0</v>
      </c>
      <c r="G14" s="474">
        <f t="shared" si="1"/>
        <v>0</v>
      </c>
    </row>
    <row r="15" spans="1:9" x14ac:dyDescent="0.35">
      <c r="B15" s="475" t="s">
        <v>125</v>
      </c>
      <c r="C15" s="615" t="e">
        <f>+SUM(C6:C14)</f>
        <v>#REF!</v>
      </c>
      <c r="D15" s="615" t="e">
        <f>+SUM(D6:D14)</f>
        <v>#REF!</v>
      </c>
      <c r="E15" s="615" t="e">
        <f>+SUM(E6:E14)</f>
        <v>#REF!</v>
      </c>
      <c r="F15" s="476" t="e">
        <f>+SUM(F6:F14)</f>
        <v>#REF!</v>
      </c>
      <c r="G15" s="477"/>
    </row>
  </sheetData>
  <mergeCells count="5">
    <mergeCell ref="C4:C5"/>
    <mergeCell ref="E4:E5"/>
    <mergeCell ref="F4:G4"/>
    <mergeCell ref="A1:G1"/>
    <mergeCell ref="D4:D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5" customWidth="1"/>
    <col min="2" max="2" width="39.6328125" style="565" customWidth="1"/>
    <col min="3" max="3" width="15" style="565" hidden="1" customWidth="1"/>
    <col min="4" max="4" width="1.453125" style="592" customWidth="1"/>
    <col min="5" max="6" width="16" style="565" customWidth="1"/>
    <col min="7" max="7" width="1.453125" style="565" customWidth="1"/>
    <col min="8" max="8" width="16.08984375" style="565" customWidth="1"/>
    <col min="9" max="9" width="1.453125" style="565" customWidth="1"/>
    <col min="10" max="10" width="16.08984375" style="565" customWidth="1"/>
    <col min="11" max="16384" width="8.7265625" style="565"/>
  </cols>
  <sheetData>
    <row r="1" spans="1:11" ht="26" x14ac:dyDescent="0.6">
      <c r="B1" s="1663" t="s">
        <v>79</v>
      </c>
      <c r="C1" s="1663"/>
      <c r="D1" s="1663"/>
      <c r="E1" s="1663"/>
      <c r="F1" s="1663"/>
      <c r="G1" s="1663"/>
      <c r="H1" s="1663"/>
      <c r="I1" s="1663"/>
      <c r="J1" s="1663"/>
    </row>
    <row r="2" spans="1:11" x14ac:dyDescent="0.5">
      <c r="D2" s="594"/>
    </row>
    <row r="3" spans="1:11" x14ac:dyDescent="0.5">
      <c r="D3" s="596"/>
      <c r="E3" s="1661">
        <v>2020</v>
      </c>
      <c r="F3" s="1662"/>
      <c r="G3" s="603"/>
      <c r="H3" s="583">
        <v>2021</v>
      </c>
      <c r="I3" s="607"/>
      <c r="J3" s="597"/>
    </row>
    <row r="4" spans="1:11" ht="53" customHeight="1" x14ac:dyDescent="0.5">
      <c r="B4" s="577"/>
      <c r="C4" s="572" t="s">
        <v>317</v>
      </c>
      <c r="D4" s="599"/>
      <c r="E4" s="572" t="s">
        <v>300</v>
      </c>
      <c r="F4" s="572" t="s">
        <v>314</v>
      </c>
      <c r="G4" s="604"/>
      <c r="H4" s="572" t="s">
        <v>315</v>
      </c>
      <c r="I4" s="608"/>
      <c r="J4" s="572" t="s">
        <v>316</v>
      </c>
      <c r="K4" s="577"/>
    </row>
    <row r="5" spans="1:11" x14ac:dyDescent="0.5">
      <c r="B5" s="577" t="s">
        <v>309</v>
      </c>
      <c r="C5" s="593"/>
      <c r="D5" s="589"/>
      <c r="E5" s="570">
        <v>56200</v>
      </c>
      <c r="F5" s="570" t="e">
        <f>+'Summary New Year'!J108</f>
        <v>#REF!</v>
      </c>
      <c r="G5" s="575"/>
      <c r="H5" s="570" t="e">
        <f>+'New Year-Full Year'!Q142</f>
        <v>#REF!</v>
      </c>
      <c r="I5" s="586"/>
      <c r="J5" s="588"/>
      <c r="K5" s="577"/>
    </row>
    <row r="6" spans="1:11" x14ac:dyDescent="0.5">
      <c r="B6" s="577" t="s">
        <v>308</v>
      </c>
      <c r="C6" s="594"/>
      <c r="D6" s="589"/>
      <c r="E6" s="568">
        <v>5000</v>
      </c>
      <c r="F6" s="568"/>
      <c r="G6" s="575"/>
      <c r="H6" s="587"/>
      <c r="I6" s="586"/>
      <c r="J6" s="589"/>
      <c r="K6" s="577"/>
    </row>
    <row r="7" spans="1:11" x14ac:dyDescent="0.5">
      <c r="B7" s="598" t="s">
        <v>311</v>
      </c>
      <c r="C7" s="595"/>
      <c r="D7" s="590"/>
      <c r="E7" s="573">
        <f>+E5-E6</f>
        <v>51200</v>
      </c>
      <c r="F7" s="573" t="e">
        <f>+F5-F6</f>
        <v>#REF!</v>
      </c>
      <c r="G7" s="585"/>
      <c r="H7" s="573" t="e">
        <f>+H5-H6</f>
        <v>#REF!</v>
      </c>
      <c r="I7" s="590"/>
      <c r="J7" s="590"/>
      <c r="K7" s="577"/>
    </row>
    <row r="8" spans="1:11" x14ac:dyDescent="0.5">
      <c r="B8" s="577"/>
      <c r="D8" s="594"/>
      <c r="G8" s="577"/>
      <c r="I8" s="577"/>
      <c r="K8" s="577"/>
    </row>
    <row r="9" spans="1:11" x14ac:dyDescent="0.5">
      <c r="B9" s="598" t="s">
        <v>301</v>
      </c>
      <c r="D9" s="594"/>
      <c r="G9" s="577"/>
      <c r="I9" s="577"/>
      <c r="K9" s="577"/>
    </row>
    <row r="10" spans="1:11" x14ac:dyDescent="0.5">
      <c r="A10" s="566" t="s">
        <v>302</v>
      </c>
      <c r="B10" s="577" t="s">
        <v>313</v>
      </c>
      <c r="C10" s="570">
        <v>13765.63</v>
      </c>
      <c r="D10" s="600"/>
      <c r="E10" s="569"/>
      <c r="F10" s="574">
        <v>20000</v>
      </c>
      <c r="G10" s="584"/>
      <c r="H10" s="570"/>
      <c r="I10" s="589"/>
      <c r="J10" s="610">
        <f>SUM(C10:H10)</f>
        <v>33765.629999999997</v>
      </c>
      <c r="K10" s="577"/>
    </row>
    <row r="11" spans="1:11" x14ac:dyDescent="0.5">
      <c r="A11" s="566" t="s">
        <v>303</v>
      </c>
      <c r="B11" s="577" t="s">
        <v>306</v>
      </c>
      <c r="C11" s="587">
        <v>29502.66</v>
      </c>
      <c r="D11" s="600"/>
      <c r="E11" s="580">
        <f>+$E$7/2</f>
        <v>25600</v>
      </c>
      <c r="F11" s="576">
        <v>10000</v>
      </c>
      <c r="G11" s="584"/>
      <c r="H11" s="587">
        <f>+'New Year-Full Year'!Q129</f>
        <v>0</v>
      </c>
      <c r="I11" s="589"/>
      <c r="J11" s="580">
        <f>SUM(C11:H11)</f>
        <v>65102.66</v>
      </c>
      <c r="K11" s="577"/>
    </row>
    <row r="12" spans="1:11" x14ac:dyDescent="0.5">
      <c r="A12" s="566" t="s">
        <v>304</v>
      </c>
      <c r="B12" s="577" t="s">
        <v>312</v>
      </c>
      <c r="C12" s="587">
        <v>168816.55</v>
      </c>
      <c r="D12" s="601"/>
      <c r="E12" s="581"/>
      <c r="F12" s="578" t="e">
        <f>+F7-F10-F11</f>
        <v>#REF!</v>
      </c>
      <c r="G12" s="605"/>
      <c r="H12" s="591"/>
      <c r="I12" s="609"/>
      <c r="J12" s="591" t="e">
        <f>SUM(C12:H12)</f>
        <v>#REF!</v>
      </c>
      <c r="K12" s="577"/>
    </row>
    <row r="13" spans="1:11" x14ac:dyDescent="0.5">
      <c r="A13" s="566" t="s">
        <v>305</v>
      </c>
      <c r="B13" s="577" t="s">
        <v>307</v>
      </c>
      <c r="C13" s="568">
        <v>29502.66</v>
      </c>
      <c r="D13" s="571"/>
      <c r="E13" s="582">
        <f>+$E$7/2</f>
        <v>25600</v>
      </c>
      <c r="F13" s="579"/>
      <c r="G13" s="606"/>
      <c r="H13" s="567"/>
      <c r="I13" s="594"/>
      <c r="J13" s="582">
        <f>SUM(C13:H13)</f>
        <v>55102.66</v>
      </c>
      <c r="K13" s="577"/>
    </row>
    <row r="14" spans="1:11" x14ac:dyDescent="0.5">
      <c r="B14" s="598" t="s">
        <v>310</v>
      </c>
      <c r="C14" s="573">
        <f>SUM(C10:C13)</f>
        <v>241587.5</v>
      </c>
      <c r="D14" s="602"/>
      <c r="E14" s="573">
        <f>SUM(E10:E13)</f>
        <v>51200</v>
      </c>
      <c r="F14" s="573" t="e">
        <f>SUM(F10:F13)</f>
        <v>#REF!</v>
      </c>
      <c r="G14" s="585"/>
      <c r="H14" s="573">
        <f>SUM(H10:H13)</f>
        <v>0</v>
      </c>
      <c r="I14" s="590"/>
      <c r="J14" s="573" t="e">
        <f>SUM(J10:J13)</f>
        <v>#REF!</v>
      </c>
      <c r="K14" s="577"/>
    </row>
  </sheetData>
  <mergeCells count="2">
    <mergeCell ref="E3:F3"/>
    <mergeCell ref="B1:J1"/>
  </mergeCells>
  <pageMargins left="0.7" right="0.7" top="0.75" bottom="0.75" header="0.3" footer="0.3"/>
  <pageSetup orientation="landscape" horizontalDpi="0" verticalDpi="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59" customWidth="1"/>
    <col min="2" max="2" width="15.7265625" style="559" customWidth="1"/>
    <col min="3" max="3" width="100.453125" style="559" customWidth="1"/>
    <col min="4" max="16384" width="8.7265625" style="559"/>
  </cols>
  <sheetData>
    <row r="1" spans="1:3" ht="26" x14ac:dyDescent="0.35">
      <c r="A1" s="1664" t="s">
        <v>286</v>
      </c>
      <c r="B1" s="1664"/>
      <c r="C1" s="1664"/>
    </row>
    <row r="3" spans="1:3" ht="42" customHeight="1" x14ac:dyDescent="0.35">
      <c r="A3" s="560" t="s">
        <v>287</v>
      </c>
      <c r="B3" s="562">
        <v>3000</v>
      </c>
      <c r="C3" s="561" t="s">
        <v>296</v>
      </c>
    </row>
    <row r="4" spans="1:3" ht="42" customHeight="1" x14ac:dyDescent="0.35">
      <c r="A4" s="560" t="s">
        <v>288</v>
      </c>
      <c r="B4" s="562">
        <v>4000</v>
      </c>
      <c r="C4" s="561" t="s">
        <v>290</v>
      </c>
    </row>
    <row r="5" spans="1:3" ht="42" customHeight="1" x14ac:dyDescent="0.35">
      <c r="A5" s="560" t="s">
        <v>289</v>
      </c>
      <c r="B5" s="562">
        <v>2759</v>
      </c>
      <c r="C5" s="561" t="s">
        <v>294</v>
      </c>
    </row>
    <row r="6" spans="1:3" ht="42" customHeight="1" x14ac:dyDescent="0.35">
      <c r="A6" s="560" t="s">
        <v>292</v>
      </c>
      <c r="B6" s="562">
        <v>8000</v>
      </c>
      <c r="C6" s="561" t="s">
        <v>291</v>
      </c>
    </row>
    <row r="7" spans="1:3" ht="42" customHeight="1" x14ac:dyDescent="0.35">
      <c r="A7" s="560" t="s">
        <v>293</v>
      </c>
      <c r="B7" s="562">
        <v>8185</v>
      </c>
      <c r="C7" s="561" t="s">
        <v>295</v>
      </c>
    </row>
  </sheetData>
  <mergeCells count="1">
    <mergeCell ref="A1:C1"/>
  </mergeCells>
  <pageMargins left="0.7" right="0.7" top="0.75" bottom="0.75" header="0.3" footer="0.3"/>
  <pageSetup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554" t="s">
        <v>265</v>
      </c>
      <c r="B1" s="1554"/>
      <c r="C1" s="1554"/>
      <c r="D1" s="1554"/>
      <c r="E1" s="1554"/>
      <c r="F1" s="1554"/>
      <c r="G1" s="1554"/>
      <c r="H1" s="1554"/>
      <c r="I1" s="1554"/>
      <c r="J1" s="1554"/>
      <c r="K1" s="1554"/>
    </row>
    <row r="2" spans="1:11" s="710" customFormat="1" ht="10" customHeight="1" x14ac:dyDescent="0.35">
      <c r="B2" s="711"/>
      <c r="C2" s="712"/>
      <c r="D2" s="712"/>
      <c r="E2" s="713"/>
      <c r="I2" s="712"/>
      <c r="J2" s="712"/>
      <c r="K2" s="712"/>
    </row>
    <row r="3" spans="1:11" ht="37.5" customHeight="1" x14ac:dyDescent="0.35">
      <c r="C3" s="369" t="s">
        <v>259</v>
      </c>
      <c r="D3" s="348" t="s">
        <v>221</v>
      </c>
      <c r="E3" s="549" t="s">
        <v>370</v>
      </c>
      <c r="G3" s="698"/>
      <c r="H3" s="699"/>
      <c r="I3" s="348" t="s">
        <v>369</v>
      </c>
      <c r="J3" s="369" t="s">
        <v>495</v>
      </c>
      <c r="K3" s="369" t="s">
        <v>496</v>
      </c>
    </row>
    <row r="4" spans="1:11" ht="14.5" customHeight="1" x14ac:dyDescent="0.35">
      <c r="A4" s="1599" t="s">
        <v>262</v>
      </c>
      <c r="B4" s="376" t="s">
        <v>35</v>
      </c>
      <c r="C4" s="370">
        <v>40802</v>
      </c>
      <c r="D4" s="370">
        <v>40802</v>
      </c>
      <c r="E4" s="143">
        <v>42687</v>
      </c>
      <c r="F4" s="1596" t="s">
        <v>371</v>
      </c>
      <c r="G4" s="1597"/>
      <c r="H4" s="1598"/>
      <c r="I4" s="370">
        <v>44553</v>
      </c>
      <c r="J4" s="370">
        <v>7425.5</v>
      </c>
      <c r="K4" s="370">
        <v>44553</v>
      </c>
    </row>
    <row r="5" spans="1:11" ht="15" thickBot="1" x14ac:dyDescent="0.4">
      <c r="A5" s="1600"/>
      <c r="B5" s="141" t="s">
        <v>124</v>
      </c>
      <c r="C5" s="148">
        <v>17487</v>
      </c>
      <c r="D5" s="148">
        <v>17487</v>
      </c>
      <c r="E5" s="373">
        <v>20000</v>
      </c>
      <c r="F5" s="1596"/>
      <c r="G5" s="1597"/>
      <c r="H5" s="1598"/>
      <c r="I5" s="373">
        <v>20000</v>
      </c>
      <c r="J5" s="782">
        <v>3333.3333333333335</v>
      </c>
      <c r="K5" s="373">
        <v>20000</v>
      </c>
    </row>
    <row r="6" spans="1:11" ht="14.5" customHeight="1" x14ac:dyDescent="0.35">
      <c r="A6" s="1600"/>
      <c r="B6" s="141" t="s">
        <v>125</v>
      </c>
      <c r="C6" s="371">
        <v>58289</v>
      </c>
      <c r="D6" s="371">
        <v>58289</v>
      </c>
      <c r="E6" s="152">
        <v>62687</v>
      </c>
      <c r="F6" s="1596"/>
      <c r="G6" s="1597"/>
      <c r="H6" s="1598"/>
      <c r="I6" s="867">
        <v>64553</v>
      </c>
      <c r="J6" s="867">
        <v>10758.833333333334</v>
      </c>
      <c r="K6" s="867">
        <v>64553</v>
      </c>
    </row>
    <row r="7" spans="1:11" ht="7.5" customHeight="1" x14ac:dyDescent="0.35">
      <c r="A7" s="1600"/>
      <c r="B7" s="1665" t="s">
        <v>498</v>
      </c>
      <c r="C7" s="146"/>
      <c r="D7" s="146"/>
      <c r="E7" s="146"/>
      <c r="I7" s="146"/>
      <c r="J7" s="146"/>
      <c r="K7" s="146"/>
    </row>
    <row r="8" spans="1:11" ht="26.5" customHeight="1" x14ac:dyDescent="0.35">
      <c r="A8" s="1600"/>
      <c r="B8" s="1665"/>
      <c r="C8" s="165">
        <v>0</v>
      </c>
      <c r="D8" s="165">
        <v>0</v>
      </c>
      <c r="E8" s="165">
        <v>2400</v>
      </c>
      <c r="I8" s="165">
        <v>2400</v>
      </c>
      <c r="J8" s="354">
        <v>0</v>
      </c>
      <c r="K8" s="165">
        <v>2000</v>
      </c>
    </row>
    <row r="9" spans="1:11" ht="8" customHeight="1" x14ac:dyDescent="0.35">
      <c r="A9" s="1600"/>
      <c r="B9" s="1665"/>
      <c r="C9" s="146"/>
      <c r="D9" s="146"/>
      <c r="E9" s="146"/>
      <c r="I9" s="146"/>
      <c r="J9" s="146"/>
      <c r="K9" s="146"/>
    </row>
    <row r="10" spans="1:11" ht="14.5" customHeight="1" x14ac:dyDescent="0.35">
      <c r="A10" s="1600"/>
      <c r="B10" s="160" t="s">
        <v>141</v>
      </c>
      <c r="C10" s="349">
        <v>58289</v>
      </c>
      <c r="D10" s="349">
        <v>29145</v>
      </c>
      <c r="E10" s="487">
        <v>65087</v>
      </c>
      <c r="I10" s="349">
        <v>66953</v>
      </c>
      <c r="J10" s="349">
        <v>10758.833333333334</v>
      </c>
      <c r="K10" s="349">
        <v>66553</v>
      </c>
    </row>
    <row r="11" spans="1:11" x14ac:dyDescent="0.35">
      <c r="A11" s="1600"/>
      <c r="B11" s="153" t="s">
        <v>229</v>
      </c>
      <c r="C11" s="165">
        <v>4459</v>
      </c>
      <c r="D11" s="165">
        <v>2230</v>
      </c>
      <c r="E11" s="165">
        <v>4979</v>
      </c>
      <c r="F11" s="116"/>
      <c r="I11" s="165">
        <v>5122</v>
      </c>
      <c r="J11" s="165">
        <v>823</v>
      </c>
      <c r="K11" s="165">
        <v>5091</v>
      </c>
    </row>
    <row r="12" spans="1:11" ht="21" customHeight="1" x14ac:dyDescent="0.35">
      <c r="A12" s="1601"/>
      <c r="B12" s="168" t="s">
        <v>143</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599" t="s">
        <v>231</v>
      </c>
      <c r="B14" s="139"/>
      <c r="C14" s="491"/>
      <c r="D14" s="491"/>
      <c r="E14" s="492"/>
      <c r="I14" s="492"/>
      <c r="J14" s="492"/>
      <c r="K14" s="491"/>
    </row>
    <row r="15" spans="1:11" ht="14.5" customHeight="1" x14ac:dyDescent="0.35">
      <c r="A15" s="1600"/>
      <c r="B15" s="161" t="s">
        <v>497</v>
      </c>
      <c r="C15" s="146"/>
      <c r="D15" s="155"/>
      <c r="E15" s="386">
        <v>0</v>
      </c>
      <c r="F15" s="736"/>
      <c r="G15" s="736"/>
      <c r="H15" s="736"/>
      <c r="I15" s="386">
        <v>0</v>
      </c>
      <c r="J15" s="386">
        <v>3340</v>
      </c>
      <c r="K15" s="355">
        <v>3340</v>
      </c>
    </row>
    <row r="16" spans="1:11" ht="9.5" customHeight="1" x14ac:dyDescent="0.35">
      <c r="A16" s="1601"/>
      <c r="B16" s="168"/>
      <c r="C16" s="488"/>
      <c r="D16" s="694"/>
      <c r="E16" s="172"/>
      <c r="I16" s="172"/>
      <c r="J16" s="172"/>
      <c r="K16" s="172"/>
    </row>
    <row r="17" spans="1:11" ht="7" customHeight="1" x14ac:dyDescent="0.35">
      <c r="B17" s="173"/>
      <c r="D17" s="173"/>
      <c r="E17" s="173"/>
      <c r="I17" s="173"/>
      <c r="J17" s="173"/>
      <c r="K17" s="173"/>
    </row>
    <row r="18" spans="1:11" ht="7" customHeight="1" x14ac:dyDescent="0.35">
      <c r="A18" s="1599" t="s">
        <v>126</v>
      </c>
      <c r="B18" s="174"/>
      <c r="C18" s="374">
        <v>0.1</v>
      </c>
      <c r="D18" s="374">
        <v>0.1</v>
      </c>
      <c r="E18" s="356">
        <v>0.1</v>
      </c>
      <c r="I18" s="356"/>
      <c r="J18" s="356"/>
      <c r="K18" s="356"/>
    </row>
    <row r="19" spans="1:11" x14ac:dyDescent="0.35">
      <c r="A19" s="1600"/>
      <c r="B19" s="153" t="s">
        <v>238</v>
      </c>
      <c r="C19" s="143"/>
      <c r="D19" s="143"/>
      <c r="E19" s="548">
        <v>0.16</v>
      </c>
      <c r="I19" s="548">
        <v>0.16</v>
      </c>
      <c r="J19" s="548">
        <v>0.1</v>
      </c>
      <c r="K19" s="548"/>
    </row>
    <row r="20" spans="1:11" x14ac:dyDescent="0.35">
      <c r="A20" s="1601"/>
      <c r="B20" s="168" t="s">
        <v>149</v>
      </c>
      <c r="C20" s="172">
        <v>6275</v>
      </c>
      <c r="D20" s="172">
        <v>3138</v>
      </c>
      <c r="E20" s="352">
        <v>11211</v>
      </c>
      <c r="I20" s="352">
        <v>11532</v>
      </c>
      <c r="J20" s="352">
        <v>1158</v>
      </c>
      <c r="K20" s="352">
        <v>10665</v>
      </c>
    </row>
    <row r="21" spans="1:11" ht="7" customHeight="1" x14ac:dyDescent="0.35">
      <c r="B21" s="173"/>
      <c r="D21" s="173"/>
      <c r="E21" s="173"/>
      <c r="I21" s="173"/>
      <c r="J21" s="173"/>
      <c r="K21" s="173"/>
    </row>
    <row r="22" spans="1:11" x14ac:dyDescent="0.35">
      <c r="A22" s="1599" t="s">
        <v>127</v>
      </c>
      <c r="B22" s="139" t="s">
        <v>403</v>
      </c>
      <c r="C22" s="374">
        <v>1.4999999999999999E-2</v>
      </c>
      <c r="D22" s="374">
        <v>1.4999999999999999E-2</v>
      </c>
      <c r="E22" s="374">
        <v>1.4999999999999999E-2</v>
      </c>
      <c r="I22" s="374">
        <v>1.4999999999999999E-2</v>
      </c>
      <c r="J22" s="374">
        <v>1.4999999999999999E-2</v>
      </c>
      <c r="K22" s="374">
        <v>1.4999999999999999E-2</v>
      </c>
    </row>
    <row r="23" spans="1:11" x14ac:dyDescent="0.35">
      <c r="A23" s="1600"/>
      <c r="B23" s="153" t="s">
        <v>404</v>
      </c>
      <c r="C23" s="357">
        <v>7.0000000000000001E-3</v>
      </c>
      <c r="D23" s="357">
        <v>7.0000000000000001E-3</v>
      </c>
      <c r="E23" s="357">
        <v>7.0000000000000001E-3</v>
      </c>
      <c r="I23" s="357">
        <v>7.0000000000000001E-3</v>
      </c>
      <c r="J23" s="357">
        <v>7.0000000000000001E-3</v>
      </c>
      <c r="K23" s="357">
        <v>7.0000000000000001E-3</v>
      </c>
    </row>
    <row r="24" spans="1:11" hidden="1" x14ac:dyDescent="0.35">
      <c r="A24" s="1600"/>
      <c r="B24" s="153" t="s">
        <v>232</v>
      </c>
      <c r="C24" s="357">
        <v>7.0000000000000001E-3</v>
      </c>
      <c r="D24" s="357">
        <v>7.0000000000000001E-3</v>
      </c>
      <c r="E24" s="357">
        <v>0</v>
      </c>
      <c r="F24" s="1628" t="s">
        <v>263</v>
      </c>
      <c r="G24" s="1629"/>
      <c r="H24" s="1630"/>
      <c r="I24" s="357">
        <v>0</v>
      </c>
      <c r="J24" s="357">
        <v>0</v>
      </c>
      <c r="K24" s="357">
        <v>0</v>
      </c>
    </row>
    <row r="25" spans="1:11" x14ac:dyDescent="0.35">
      <c r="A25" s="1600"/>
      <c r="B25" s="153" t="s">
        <v>405</v>
      </c>
      <c r="C25" s="358">
        <v>2.8999999999999998E-2</v>
      </c>
      <c r="D25" s="358">
        <v>2.8999999999999998E-2</v>
      </c>
      <c r="E25" s="358">
        <v>2.1999999999999999E-2</v>
      </c>
      <c r="I25" s="358">
        <v>2.1999999999999999E-2</v>
      </c>
      <c r="J25" s="358">
        <v>2.1999999999999999E-2</v>
      </c>
      <c r="K25" s="358">
        <v>2.1999999999999999E-2</v>
      </c>
    </row>
    <row r="26" spans="1:11" x14ac:dyDescent="0.35">
      <c r="A26" s="1600"/>
      <c r="B26" s="153" t="s">
        <v>150</v>
      </c>
      <c r="C26" s="143">
        <v>62748</v>
      </c>
      <c r="D26" s="143">
        <v>31375</v>
      </c>
      <c r="E26" s="143">
        <v>70066</v>
      </c>
      <c r="I26" s="143">
        <v>72075</v>
      </c>
      <c r="J26" s="143">
        <v>11581.833333333334</v>
      </c>
      <c r="K26" s="143">
        <v>71644</v>
      </c>
    </row>
    <row r="27" spans="1:11" x14ac:dyDescent="0.35">
      <c r="A27" s="1601"/>
      <c r="B27" s="129" t="s">
        <v>153</v>
      </c>
      <c r="C27" s="172">
        <v>1820</v>
      </c>
      <c r="D27" s="172">
        <v>910</v>
      </c>
      <c r="E27" s="489">
        <v>1541</v>
      </c>
      <c r="I27" s="172">
        <v>1586</v>
      </c>
      <c r="J27" s="172">
        <v>255</v>
      </c>
      <c r="K27" s="172">
        <v>1576</v>
      </c>
    </row>
    <row r="28" spans="1:11" ht="7.5" customHeight="1" x14ac:dyDescent="0.35">
      <c r="D28" s="173"/>
      <c r="I28" s="173"/>
      <c r="J28" s="173"/>
      <c r="K28" s="173"/>
    </row>
    <row r="29" spans="1:11" x14ac:dyDescent="0.35">
      <c r="A29" s="1599" t="s">
        <v>98</v>
      </c>
      <c r="B29" s="121" t="s">
        <v>158</v>
      </c>
      <c r="C29" s="493">
        <v>1200</v>
      </c>
      <c r="D29" s="695">
        <v>600</v>
      </c>
      <c r="E29" s="493">
        <v>1200</v>
      </c>
      <c r="I29" s="493">
        <v>1200</v>
      </c>
      <c r="J29" s="695">
        <v>200</v>
      </c>
      <c r="K29" s="695">
        <v>1200</v>
      </c>
    </row>
    <row r="30" spans="1:11" x14ac:dyDescent="0.35">
      <c r="A30" s="1600"/>
      <c r="B30" s="123" t="s">
        <v>499</v>
      </c>
      <c r="C30" s="351">
        <v>750</v>
      </c>
      <c r="D30" s="375">
        <v>375</v>
      </c>
      <c r="E30" s="351">
        <v>1300</v>
      </c>
      <c r="I30" s="351">
        <v>1300</v>
      </c>
      <c r="J30" s="375">
        <v>216.66666666666666</v>
      </c>
      <c r="K30" s="375">
        <v>1300</v>
      </c>
    </row>
    <row r="31" spans="1:11" x14ac:dyDescent="0.35">
      <c r="A31" s="1600"/>
      <c r="B31" s="123" t="s">
        <v>98</v>
      </c>
      <c r="C31" s="351">
        <v>600</v>
      </c>
      <c r="D31" s="375">
        <v>300</v>
      </c>
      <c r="E31" s="351">
        <v>600</v>
      </c>
      <c r="I31" s="351">
        <v>600</v>
      </c>
      <c r="J31" s="375">
        <v>100</v>
      </c>
      <c r="K31" s="375">
        <v>600</v>
      </c>
    </row>
    <row r="32" spans="1:11" x14ac:dyDescent="0.35">
      <c r="A32" s="1600"/>
      <c r="B32" s="153" t="s">
        <v>168</v>
      </c>
      <c r="C32" s="351">
        <v>480</v>
      </c>
      <c r="D32" s="375">
        <v>240</v>
      </c>
      <c r="E32" s="351">
        <v>480</v>
      </c>
      <c r="F32" s="257"/>
      <c r="G32" s="257"/>
      <c r="H32" s="257"/>
      <c r="I32" s="351">
        <v>480</v>
      </c>
      <c r="J32" s="375">
        <v>80</v>
      </c>
      <c r="K32" s="375">
        <v>480</v>
      </c>
    </row>
    <row r="33" spans="1:11" hidden="1" x14ac:dyDescent="0.35">
      <c r="A33" s="1600"/>
      <c r="B33" s="153" t="s">
        <v>227</v>
      </c>
      <c r="C33" s="351">
        <v>300</v>
      </c>
      <c r="D33" s="351">
        <v>300</v>
      </c>
      <c r="E33" s="351"/>
      <c r="F33" s="257"/>
      <c r="G33" s="257"/>
      <c r="H33" s="257"/>
      <c r="I33" s="351"/>
      <c r="J33" s="351"/>
      <c r="K33" s="351"/>
    </row>
    <row r="34" spans="1:11" x14ac:dyDescent="0.35">
      <c r="A34" s="1601"/>
      <c r="B34" s="134" t="s">
        <v>160</v>
      </c>
      <c r="C34" s="352">
        <v>3330</v>
      </c>
      <c r="D34" s="352">
        <v>1815</v>
      </c>
      <c r="E34" s="490">
        <v>3580</v>
      </c>
      <c r="H34" s="116"/>
      <c r="I34" s="352">
        <v>3580</v>
      </c>
      <c r="J34" s="352">
        <v>596.66666666666663</v>
      </c>
      <c r="K34" s="352">
        <v>3580</v>
      </c>
    </row>
    <row r="35" spans="1:11" ht="8" customHeight="1" x14ac:dyDescent="0.35">
      <c r="D35" s="173"/>
    </row>
    <row r="36" spans="1:11" x14ac:dyDescent="0.35">
      <c r="B36" s="137" t="s">
        <v>233</v>
      </c>
      <c r="C36" s="353">
        <v>96198</v>
      </c>
      <c r="D36" s="353">
        <v>48251</v>
      </c>
      <c r="E36" s="138">
        <v>86398</v>
      </c>
      <c r="F36" s="116"/>
      <c r="G36" s="558"/>
      <c r="H36" s="378"/>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25"/>
  <sheetViews>
    <sheetView showGridLines="0" workbookViewId="0">
      <selection activeCell="I4" sqref="I4"/>
    </sheetView>
  </sheetViews>
  <sheetFormatPr defaultRowHeight="14.5" x14ac:dyDescent="0.35"/>
  <cols>
    <col min="1" max="1" width="23.453125" customWidth="1"/>
    <col min="2" max="3" width="9.36328125" customWidth="1"/>
    <col min="6" max="6" width="3.1796875" customWidth="1"/>
    <col min="7" max="7" width="10.54296875" customWidth="1"/>
    <col min="8" max="8" width="10.453125" customWidth="1"/>
    <col min="11" max="11" width="9.81640625" bestFit="1" customWidth="1"/>
  </cols>
  <sheetData>
    <row r="1" spans="1:12" ht="55.5" customHeight="1" x14ac:dyDescent="0.35"/>
    <row r="2" spans="1:12" ht="21" x14ac:dyDescent="0.5">
      <c r="A2" s="1440" t="s">
        <v>321</v>
      </c>
      <c r="B2" s="1440"/>
      <c r="C2" s="1440"/>
      <c r="D2" s="1440"/>
      <c r="E2" s="1440"/>
      <c r="F2" s="1440"/>
      <c r="G2" s="1440"/>
      <c r="H2" s="1440"/>
    </row>
    <row r="3" spans="1:12" ht="15" thickBot="1" x14ac:dyDescent="0.4"/>
    <row r="4" spans="1:12" ht="59" thickTop="1" thickBot="1" x14ac:dyDescent="0.4">
      <c r="B4" s="633" t="s">
        <v>874</v>
      </c>
      <c r="C4" s="634" t="s">
        <v>873</v>
      </c>
      <c r="D4" s="634" t="s">
        <v>686</v>
      </c>
      <c r="E4" s="1416" t="s">
        <v>814</v>
      </c>
      <c r="G4" s="1342" t="s">
        <v>876</v>
      </c>
      <c r="H4" s="1343" t="s">
        <v>875</v>
      </c>
    </row>
    <row r="5" spans="1:12" ht="15" thickTop="1" x14ac:dyDescent="0.35">
      <c r="A5" s="632" t="s">
        <v>323</v>
      </c>
      <c r="B5" s="619">
        <f>ROUND(+'New Year-Full Year'!Q13,0)</f>
        <v>508000</v>
      </c>
      <c r="C5" s="619">
        <f>ROUND(+'New Year-Full Year'!V13,0)</f>
        <v>384669</v>
      </c>
      <c r="D5" s="619">
        <f>ROUND(+'New Year-Full Year'!R13,0)</f>
        <v>477000</v>
      </c>
      <c r="E5" s="1341">
        <v>493429</v>
      </c>
      <c r="G5" s="1344">
        <f>+C5-D5</f>
        <v>-92331</v>
      </c>
      <c r="H5" s="1345">
        <f>+B5-D5</f>
        <v>31000</v>
      </c>
      <c r="K5" s="617"/>
    </row>
    <row r="6" spans="1:12" x14ac:dyDescent="0.35">
      <c r="A6" s="620"/>
      <c r="B6" s="616"/>
      <c r="C6" s="616"/>
      <c r="D6" s="616"/>
      <c r="E6" s="964"/>
      <c r="G6" s="1346"/>
      <c r="H6" s="1115"/>
      <c r="J6" s="617"/>
    </row>
    <row r="7" spans="1:12" x14ac:dyDescent="0.35">
      <c r="A7" s="618" t="s">
        <v>324</v>
      </c>
      <c r="B7" s="616"/>
      <c r="C7" s="616"/>
      <c r="D7" s="616"/>
      <c r="E7" s="964"/>
      <c r="G7" s="1346"/>
      <c r="H7" s="1115"/>
    </row>
    <row r="8" spans="1:12" x14ac:dyDescent="0.35">
      <c r="A8" s="620" t="s">
        <v>326</v>
      </c>
      <c r="B8" s="622">
        <f>ROUND(+'New Year-Full Year'!Q27,0)</f>
        <v>18250</v>
      </c>
      <c r="C8" s="622">
        <f>ROUND(+'New Year-Full Year'!V27,0)</f>
        <v>9125</v>
      </c>
      <c r="D8" s="622">
        <f>ROUND(+'New Year-Full Year'!R27,0)</f>
        <v>18250</v>
      </c>
      <c r="E8" s="623">
        <v>49310</v>
      </c>
      <c r="G8" s="1347">
        <f>+C8-D8</f>
        <v>-9125</v>
      </c>
      <c r="H8" s="1348">
        <f>+B8-D8</f>
        <v>0</v>
      </c>
      <c r="J8" s="498"/>
      <c r="K8" s="947"/>
      <c r="L8" s="498"/>
    </row>
    <row r="9" spans="1:12" x14ac:dyDescent="0.35">
      <c r="A9" s="620" t="s">
        <v>327</v>
      </c>
      <c r="B9" s="622">
        <f>ROUND(+'New Year-Full Year'!Q66,0)</f>
        <v>41769</v>
      </c>
      <c r="C9" s="622">
        <f>ROUND(+'New Year-Full Year'!V66,0)</f>
        <v>20047</v>
      </c>
      <c r="D9" s="622">
        <f>ROUND(+'New Year-Full Year'!R66,0)</f>
        <v>39013</v>
      </c>
      <c r="E9" s="623">
        <v>34740</v>
      </c>
      <c r="G9" s="1347">
        <f>+C9-D9</f>
        <v>-18966</v>
      </c>
      <c r="H9" s="1348">
        <f>+B9-D9</f>
        <v>2756</v>
      </c>
    </row>
    <row r="10" spans="1:12" x14ac:dyDescent="0.35">
      <c r="A10" s="620" t="s">
        <v>328</v>
      </c>
      <c r="B10" s="1134">
        <f>ROUND(+'New Year-Full Year'!Q109,0)</f>
        <v>381217</v>
      </c>
      <c r="C10" s="622">
        <f>ROUND(+'New Year-Full Year'!V109,0)</f>
        <v>220220</v>
      </c>
      <c r="D10" s="622">
        <f>ROUND(+'New Year-Full Year'!R109,0)</f>
        <v>345737</v>
      </c>
      <c r="E10" s="623">
        <v>260212</v>
      </c>
      <c r="G10" s="1347">
        <f>+C10-D10</f>
        <v>-125517</v>
      </c>
      <c r="H10" s="1348">
        <f>+B10-D10</f>
        <v>35480</v>
      </c>
    </row>
    <row r="11" spans="1:12" ht="16" x14ac:dyDescent="0.5">
      <c r="A11" s="620" t="s">
        <v>329</v>
      </c>
      <c r="B11" s="624">
        <f>ROUND(+'New Year-Full Year'!Q126,0)</f>
        <v>76500</v>
      </c>
      <c r="C11" s="624">
        <f>ROUND(+'New Year-Full Year'!V126,0)</f>
        <v>44745</v>
      </c>
      <c r="D11" s="624">
        <f>ROUND(+'New Year-Full Year'!R126,0)</f>
        <v>74000</v>
      </c>
      <c r="E11" s="625">
        <v>68178</v>
      </c>
      <c r="G11" s="1349">
        <f>+C11-D11</f>
        <v>-29255</v>
      </c>
      <c r="H11" s="1350">
        <f>+B11-D11</f>
        <v>2500</v>
      </c>
    </row>
    <row r="12" spans="1:12" x14ac:dyDescent="0.35">
      <c r="A12" s="618" t="s">
        <v>325</v>
      </c>
      <c r="B12" s="619">
        <f>SUM(B8:B11)</f>
        <v>517736</v>
      </c>
      <c r="C12" s="619">
        <f>SUM(C8:C11)</f>
        <v>294137</v>
      </c>
      <c r="D12" s="619">
        <f>SUM(D8:D11)</f>
        <v>477000</v>
      </c>
      <c r="E12" s="626">
        <f>SUM(E8:E11)</f>
        <v>412440</v>
      </c>
      <c r="G12" s="1351">
        <f>SUM(G8:G11)</f>
        <v>-182863</v>
      </c>
      <c r="H12" s="1352">
        <f>SUM(H8:H11)</f>
        <v>40736</v>
      </c>
    </row>
    <row r="13" spans="1:12" x14ac:dyDescent="0.35">
      <c r="A13" s="620"/>
      <c r="B13" s="616"/>
      <c r="C13" s="616"/>
      <c r="D13" s="616"/>
      <c r="E13" s="621"/>
      <c r="G13" s="1346"/>
      <c r="H13" s="1115"/>
    </row>
    <row r="14" spans="1:12" x14ac:dyDescent="0.35">
      <c r="A14" s="618" t="s">
        <v>322</v>
      </c>
      <c r="B14" s="619">
        <f>+B5-B12</f>
        <v>-9736</v>
      </c>
      <c r="C14" s="619">
        <f>+C5-C12</f>
        <v>90532</v>
      </c>
      <c r="D14" s="619">
        <f>+D5-D12</f>
        <v>0</v>
      </c>
      <c r="E14" s="626">
        <f>+E5-E12</f>
        <v>80989</v>
      </c>
      <c r="G14" s="1353">
        <v>80989</v>
      </c>
      <c r="H14" s="1352">
        <f>+H5-H12</f>
        <v>-9736</v>
      </c>
    </row>
    <row r="15" spans="1:12" x14ac:dyDescent="0.35">
      <c r="A15" s="620"/>
      <c r="B15" s="616"/>
      <c r="C15" s="616"/>
      <c r="D15" s="616"/>
      <c r="E15" s="621"/>
      <c r="G15" s="1353"/>
      <c r="H15" s="1354"/>
    </row>
    <row r="16" spans="1:12" x14ac:dyDescent="0.35">
      <c r="A16" s="618" t="s">
        <v>330</v>
      </c>
      <c r="B16" s="616"/>
      <c r="C16" s="616"/>
      <c r="D16" s="616"/>
      <c r="E16" s="621"/>
      <c r="G16" s="1353"/>
      <c r="H16" s="1354"/>
    </row>
    <row r="17" spans="1:8" x14ac:dyDescent="0.35">
      <c r="A17" s="620" t="s">
        <v>517</v>
      </c>
      <c r="B17" s="622">
        <f>ROUND(+'New Year-Full Year'!Q128,0)</f>
        <v>0</v>
      </c>
      <c r="C17" s="622">
        <f>ROUND(+'New Year-Full Year'!V128,0)</f>
        <v>0</v>
      </c>
      <c r="D17" s="622">
        <f>ROUND(+'New Year-Full Year'!R128,0)</f>
        <v>0</v>
      </c>
      <c r="E17" s="623">
        <v>17810</v>
      </c>
      <c r="G17" s="1347">
        <f>+C17-D17</f>
        <v>0</v>
      </c>
      <c r="H17" s="1348">
        <f>+B17-D17</f>
        <v>0</v>
      </c>
    </row>
    <row r="18" spans="1:8" ht="16" hidden="1" x14ac:dyDescent="0.5">
      <c r="A18" s="620" t="s">
        <v>331</v>
      </c>
      <c r="B18" s="622">
        <f>ROUND(+'New Year-Full Year'!Q129,0)</f>
        <v>0</v>
      </c>
      <c r="C18" s="622">
        <f>ROUND(+'New Year-Full Year'!V129,0)</f>
        <v>0</v>
      </c>
      <c r="D18" s="622">
        <f>ROUND(+'New Year-Full Year'!R129,0)</f>
        <v>0</v>
      </c>
      <c r="E18" s="623">
        <v>0</v>
      </c>
      <c r="G18" s="1355"/>
      <c r="H18" s="1350">
        <f>+B18-D18</f>
        <v>0</v>
      </c>
    </row>
    <row r="19" spans="1:8" ht="16" x14ac:dyDescent="0.5">
      <c r="A19" s="620" t="s">
        <v>332</v>
      </c>
      <c r="B19" s="624">
        <f>ROUND(+'New Year-Full Year'!Q131,0)</f>
        <v>0</v>
      </c>
      <c r="C19" s="624">
        <f>ROUND(+'New Year-Full Year'!V131,0)</f>
        <v>0</v>
      </c>
      <c r="D19" s="624">
        <f>ROUND(+'New Year-Full Year'!R131,0)</f>
        <v>0</v>
      </c>
      <c r="E19" s="625">
        <v>63179</v>
      </c>
      <c r="G19" s="1349">
        <f>+C19-D19</f>
        <v>0</v>
      </c>
      <c r="H19" s="1350">
        <f>+B19-D19</f>
        <v>0</v>
      </c>
    </row>
    <row r="20" spans="1:8" hidden="1" x14ac:dyDescent="0.35">
      <c r="A20" s="620" t="s">
        <v>333</v>
      </c>
      <c r="B20" s="622">
        <f>ROUND(+'New Year-Full Year'!Q132,0)</f>
        <v>0</v>
      </c>
      <c r="C20" s="622">
        <f>ROUND(+'New Year-Full Year'!V132,0)</f>
        <v>0</v>
      </c>
      <c r="D20" s="622">
        <f>ROUND(+'New Year-Full Year'!R132,0)</f>
        <v>0</v>
      </c>
      <c r="E20" s="623">
        <v>0</v>
      </c>
      <c r="G20" s="1355"/>
      <c r="H20" s="1356"/>
    </row>
    <row r="21" spans="1:8" ht="16" hidden="1" x14ac:dyDescent="0.5">
      <c r="A21" s="620" t="s">
        <v>334</v>
      </c>
      <c r="B21" s="624">
        <f>ROUND(+'New Year-Full Year'!Q133,0)</f>
        <v>0</v>
      </c>
      <c r="C21" s="624">
        <f>ROUND(+'New Year-Full Year'!V133,0)</f>
        <v>0</v>
      </c>
      <c r="D21" s="624">
        <f>ROUND(+'New Year-Full Year'!R133,0)</f>
        <v>0</v>
      </c>
      <c r="E21" s="625">
        <v>0</v>
      </c>
      <c r="G21" s="1357"/>
      <c r="H21" s="1358"/>
    </row>
    <row r="22" spans="1:8" x14ac:dyDescent="0.35">
      <c r="A22" s="618" t="s">
        <v>73</v>
      </c>
      <c r="B22" s="627">
        <f>SUM(B17:B21)</f>
        <v>0</v>
      </c>
      <c r="C22" s="627">
        <f>SUM(C17:C21)</f>
        <v>0</v>
      </c>
      <c r="D22" s="627">
        <f>SUM(D17:D21)</f>
        <v>0</v>
      </c>
      <c r="E22" s="628">
        <f>SUM(E17:E21)</f>
        <v>80989</v>
      </c>
      <c r="F22" s="617"/>
      <c r="G22" s="1347">
        <f>SUM(G17:G21)</f>
        <v>0</v>
      </c>
      <c r="H22" s="1348">
        <f>SUM(H17:H21)</f>
        <v>0</v>
      </c>
    </row>
    <row r="23" spans="1:8" x14ac:dyDescent="0.35">
      <c r="A23" s="620"/>
      <c r="B23" s="635"/>
      <c r="C23" s="635"/>
      <c r="D23" s="635"/>
      <c r="E23" s="636"/>
      <c r="G23" s="1346"/>
      <c r="H23" s="1115"/>
    </row>
    <row r="24" spans="1:8" ht="15" thickBot="1" x14ac:dyDescent="0.4">
      <c r="A24" s="629" t="s">
        <v>335</v>
      </c>
      <c r="B24" s="692">
        <f>ROUND(+B14-B22,0)</f>
        <v>-9736</v>
      </c>
      <c r="C24" s="692">
        <f>ROUND(+C14-C22,0)</f>
        <v>90532</v>
      </c>
      <c r="D24" s="630">
        <f>+D14-D22</f>
        <v>0</v>
      </c>
      <c r="E24" s="631">
        <f>+E14-E22</f>
        <v>0</v>
      </c>
      <c r="G24" s="1359">
        <f>ROUND(+G14-G22,0)</f>
        <v>80989</v>
      </c>
      <c r="H24" s="1360">
        <f>ROUND(+H14-H22,0)</f>
        <v>-9736</v>
      </c>
    </row>
    <row r="25" spans="1:8" ht="15" thickTop="1" x14ac:dyDescent="0.35"/>
  </sheetData>
  <mergeCells count="1">
    <mergeCell ref="A2:H2"/>
  </mergeCells>
  <pageMargins left="0.7" right="0.7" top="0.75" bottom="0.75" header="0.3" footer="0.3"/>
  <pageSetup orientation="portrait" horizontalDpi="0" verticalDpi="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554" t="s">
        <v>399</v>
      </c>
      <c r="B1" s="1554"/>
      <c r="C1" s="1554"/>
      <c r="D1" s="1554"/>
      <c r="E1" s="1554"/>
      <c r="F1" s="1554"/>
      <c r="G1" s="1554"/>
      <c r="H1" s="1554"/>
      <c r="I1" s="1554"/>
      <c r="J1" s="1554"/>
      <c r="K1" s="1554"/>
      <c r="L1" s="1554"/>
      <c r="M1" s="1554"/>
      <c r="N1" s="1554"/>
      <c r="O1" s="1554"/>
      <c r="P1" s="1554"/>
      <c r="Q1" s="1554"/>
      <c r="R1" s="1554"/>
      <c r="S1" s="1554"/>
      <c r="T1" s="1554"/>
      <c r="U1" s="1554"/>
      <c r="V1" s="1554"/>
      <c r="W1" s="1554"/>
      <c r="X1" s="1554"/>
      <c r="Y1" s="1554"/>
    </row>
    <row r="2" spans="1:25" x14ac:dyDescent="0.35">
      <c r="A2" s="866" t="s">
        <v>483</v>
      </c>
      <c r="K2" s="709"/>
      <c r="L2" s="1670"/>
      <c r="M2" s="1670"/>
      <c r="N2" s="1670"/>
      <c r="O2" s="1670"/>
      <c r="P2" s="1670"/>
      <c r="Q2" s="733"/>
      <c r="R2" s="1670"/>
      <c r="S2" s="1670"/>
      <c r="T2" s="1670"/>
      <c r="U2" s="1670"/>
      <c r="V2" s="1671"/>
    </row>
    <row r="3" spans="1:25" ht="43.5" customHeight="1" x14ac:dyDescent="0.35">
      <c r="A3" s="752" t="s">
        <v>426</v>
      </c>
      <c r="B3" s="1666">
        <v>2018</v>
      </c>
      <c r="C3" s="1667"/>
      <c r="D3" s="1667"/>
      <c r="E3" s="1667"/>
      <c r="F3" s="1668"/>
      <c r="G3" s="348" t="s">
        <v>142</v>
      </c>
      <c r="H3" s="110" t="s">
        <v>157</v>
      </c>
      <c r="I3" s="348" t="s">
        <v>221</v>
      </c>
      <c r="K3" s="725" t="s">
        <v>285</v>
      </c>
      <c r="L3" s="726" t="s">
        <v>278</v>
      </c>
      <c r="M3" s="726" t="s">
        <v>279</v>
      </c>
      <c r="N3" s="727" t="s">
        <v>280</v>
      </c>
      <c r="O3" s="727" t="s">
        <v>281</v>
      </c>
      <c r="P3" s="726" t="s">
        <v>282</v>
      </c>
      <c r="Q3" s="728" t="s">
        <v>369</v>
      </c>
      <c r="R3" s="726" t="s">
        <v>278</v>
      </c>
      <c r="S3" s="503" t="s">
        <v>279</v>
      </c>
      <c r="T3" s="504" t="s">
        <v>280</v>
      </c>
      <c r="U3" s="504" t="s">
        <v>281</v>
      </c>
      <c r="V3" s="503" t="s">
        <v>282</v>
      </c>
      <c r="W3" s="1594" t="str">
        <f>"To Buy Back one week of vacation is $"&amp;ROUND(+Q11/52,2)&amp;"0 per week or $"&amp;ROUND(+Q11/52,0)/5&amp;" Per day."</f>
        <v>To Buy Back one week of vacation is $1509.60 per week or $302 Per day.</v>
      </c>
      <c r="X3" s="1595"/>
      <c r="Y3" s="1595"/>
    </row>
    <row r="4" spans="1:25" ht="14.5" customHeight="1" x14ac:dyDescent="0.35">
      <c r="A4" s="376" t="s">
        <v>35</v>
      </c>
      <c r="B4" s="142">
        <v>52894</v>
      </c>
      <c r="C4" s="96">
        <f>+B7-C6</f>
        <v>46762</v>
      </c>
      <c r="D4" s="96">
        <f>+B7-D6</f>
        <v>46762</v>
      </c>
      <c r="E4" s="96">
        <f>+B4</f>
        <v>52894</v>
      </c>
      <c r="F4" s="106"/>
      <c r="G4" s="143">
        <f>+B7-G6</f>
        <v>46322</v>
      </c>
      <c r="H4" s="143"/>
      <c r="I4" s="143">
        <f>71540-22000</f>
        <v>49540</v>
      </c>
      <c r="K4" s="143">
        <f>+K11-K6</f>
        <v>52510</v>
      </c>
      <c r="L4" s="506">
        <f>+L7-L6</f>
        <v>53618</v>
      </c>
      <c r="M4" s="506">
        <f>+I4*(1+0.02)</f>
        <v>50530.8</v>
      </c>
      <c r="N4" s="506">
        <f>+I4*(1+0.01)</f>
        <v>50035.4</v>
      </c>
      <c r="O4" s="506">
        <f>+I4</f>
        <v>49540</v>
      </c>
      <c r="P4" s="506">
        <f>+I4*(1+0.026)+1110</f>
        <v>51938.04</v>
      </c>
      <c r="Q4" s="112">
        <f>+V4</f>
        <v>56499</v>
      </c>
      <c r="R4" s="506">
        <f>+R7-R6</f>
        <v>58551</v>
      </c>
      <c r="S4" s="506">
        <f>+S7-S6</f>
        <v>54000.2</v>
      </c>
      <c r="T4" s="506">
        <f>+T7-T6</f>
        <v>53255.100000000006</v>
      </c>
      <c r="U4" s="506">
        <f>+U7-U6</f>
        <v>52510</v>
      </c>
      <c r="V4" s="506">
        <f>+V7-V6</f>
        <v>56499</v>
      </c>
      <c r="W4" s="1672" t="str">
        <f>"For 2022, 20 years of experience plus a COLA 5% per ELCA quidelines = "&amp;ROUND((+Q7-K7)/K7,3)*100&amp;"% increase due to vacation purchase."</f>
        <v>For 2022, 20 years of experience plus a COLA 5% per ELCA quidelines = 5.4% increase due to vacation purchase.</v>
      </c>
      <c r="X4" s="1673"/>
      <c r="Y4" s="1673"/>
    </row>
    <row r="5" spans="1:25" ht="8" hidden="1" customHeight="1" x14ac:dyDescent="0.35">
      <c r="A5" s="141"/>
      <c r="B5" s="144">
        <v>0.3</v>
      </c>
      <c r="C5" s="98"/>
      <c r="D5" s="98"/>
      <c r="E5" s="97">
        <v>0.3</v>
      </c>
      <c r="F5" s="145"/>
      <c r="G5" s="146"/>
      <c r="H5" s="146"/>
      <c r="I5" s="146"/>
      <c r="K5" s="146"/>
      <c r="L5" s="507"/>
      <c r="M5" s="507"/>
      <c r="N5" s="507"/>
      <c r="O5" s="507"/>
      <c r="P5" s="507"/>
      <c r="Q5" s="113"/>
      <c r="R5" s="507"/>
      <c r="S5" s="507"/>
      <c r="T5" s="507"/>
      <c r="U5" s="507"/>
      <c r="V5" s="507"/>
      <c r="W5" s="1672"/>
      <c r="X5" s="1673"/>
      <c r="Y5" s="1673"/>
    </row>
    <row r="6" spans="1:25" ht="16.5" customHeight="1" thickBot="1" x14ac:dyDescent="0.4">
      <c r="A6" s="141" t="s">
        <v>124</v>
      </c>
      <c r="B6" s="147">
        <f>ROUND(+B4*B5,0)</f>
        <v>15868</v>
      </c>
      <c r="C6" s="100">
        <v>22000</v>
      </c>
      <c r="D6" s="100">
        <f>+C6</f>
        <v>22000</v>
      </c>
      <c r="E6" s="99">
        <f>ROUND(+E4*E5,0)</f>
        <v>15868</v>
      </c>
      <c r="F6" s="103"/>
      <c r="G6" s="148">
        <v>22440</v>
      </c>
      <c r="H6" s="148"/>
      <c r="I6" s="148">
        <v>22000</v>
      </c>
      <c r="K6" s="148">
        <v>22000</v>
      </c>
      <c r="L6" s="508">
        <v>22000</v>
      </c>
      <c r="M6" s="509">
        <f>+I6*(1+0.02)</f>
        <v>22440</v>
      </c>
      <c r="N6" s="509">
        <f>+I6*(1+0.01)</f>
        <v>22220</v>
      </c>
      <c r="O6" s="509">
        <f>+I6</f>
        <v>22000</v>
      </c>
      <c r="P6" s="509">
        <f>+I6*(1+0.026)</f>
        <v>22572</v>
      </c>
      <c r="Q6" s="114">
        <v>22000</v>
      </c>
      <c r="R6" s="509">
        <f>+$Q6</f>
        <v>22000</v>
      </c>
      <c r="S6" s="509">
        <f>+$Q6</f>
        <v>22000</v>
      </c>
      <c r="T6" s="509">
        <f>+$Q6</f>
        <v>22000</v>
      </c>
      <c r="U6" s="509">
        <f>+$Q6</f>
        <v>22000</v>
      </c>
      <c r="V6" s="509">
        <f>+$Q6</f>
        <v>22000</v>
      </c>
      <c r="W6" s="1672"/>
      <c r="X6" s="1673"/>
      <c r="Y6" s="1673"/>
    </row>
    <row r="7" spans="1:25" ht="14.5" hidden="1" customHeight="1" x14ac:dyDescent="0.35">
      <c r="A7" s="141" t="s">
        <v>125</v>
      </c>
      <c r="B7" s="149">
        <f>+B4+B6</f>
        <v>68762</v>
      </c>
      <c r="C7" s="150">
        <f>+C4+C6</f>
        <v>68762</v>
      </c>
      <c r="D7" s="150">
        <f>+D4+D6</f>
        <v>68762</v>
      </c>
      <c r="E7" s="150">
        <f>+E4+E6</f>
        <v>68762</v>
      </c>
      <c r="F7" s="151"/>
      <c r="G7" s="152">
        <f>+G4+G6</f>
        <v>68762</v>
      </c>
      <c r="H7" s="152"/>
      <c r="I7" s="152">
        <f>+I4+I6</f>
        <v>71540</v>
      </c>
      <c r="K7" s="152">
        <v>74510</v>
      </c>
      <c r="L7" s="545">
        <v>75618</v>
      </c>
      <c r="M7" s="510">
        <f>+M4+M6</f>
        <v>72970.8</v>
      </c>
      <c r="N7" s="510">
        <f>+N4+N6</f>
        <v>72255.399999999994</v>
      </c>
      <c r="O7" s="510">
        <f>+O4+O6</f>
        <v>71540</v>
      </c>
      <c r="P7" s="510">
        <f>+P4+P6</f>
        <v>74510.040000000008</v>
      </c>
      <c r="Q7" s="115">
        <f>+Q4+Q6</f>
        <v>78499</v>
      </c>
      <c r="R7" s="545">
        <v>80551</v>
      </c>
      <c r="S7" s="510">
        <f>+$K7*(1+0.02)</f>
        <v>76000.2</v>
      </c>
      <c r="T7" s="510">
        <f>+$K7*(1+0.01)</f>
        <v>75255.100000000006</v>
      </c>
      <c r="U7" s="510">
        <f>+$K7*(1+0)</f>
        <v>74510</v>
      </c>
      <c r="V7" s="545">
        <f>ROUND(($K7*(1+0.026))+(R7-($K7*(1+0.026)))/2,0)</f>
        <v>78499</v>
      </c>
      <c r="W7" s="723"/>
      <c r="X7" s="724"/>
      <c r="Y7" s="724"/>
    </row>
    <row r="8" spans="1:25" ht="4" hidden="1" customHeight="1" x14ac:dyDescent="0.35">
      <c r="A8" s="153"/>
      <c r="B8" s="153"/>
      <c r="C8" s="154"/>
      <c r="D8" s="154"/>
      <c r="E8" s="154"/>
      <c r="F8" s="155"/>
      <c r="G8" s="146"/>
      <c r="H8" s="146"/>
      <c r="I8" s="146"/>
      <c r="K8" s="146"/>
      <c r="L8" s="507"/>
      <c r="M8" s="507"/>
      <c r="N8" s="507"/>
      <c r="O8" s="507"/>
      <c r="P8" s="507"/>
      <c r="Q8" s="113"/>
      <c r="R8" s="507"/>
      <c r="S8" s="507"/>
      <c r="T8" s="507"/>
      <c r="U8" s="507"/>
      <c r="V8" s="507"/>
      <c r="W8" s="723"/>
      <c r="X8" s="724"/>
      <c r="Y8" s="724"/>
    </row>
    <row r="9" spans="1:25" ht="14.5" hidden="1" customHeight="1" x14ac:dyDescent="0.35">
      <c r="A9" s="141" t="s">
        <v>131</v>
      </c>
      <c r="B9" s="153"/>
      <c r="C9" s="101">
        <f>(23/24)</f>
        <v>0.95833333333333337</v>
      </c>
      <c r="D9" s="101">
        <f>(23/24)</f>
        <v>0.95833333333333337</v>
      </c>
      <c r="E9" s="101">
        <v>1</v>
      </c>
      <c r="F9" s="102">
        <v>1</v>
      </c>
      <c r="G9" s="156">
        <v>1</v>
      </c>
      <c r="H9" s="156"/>
      <c r="I9" s="156">
        <v>1</v>
      </c>
      <c r="K9" s="156">
        <v>1</v>
      </c>
      <c r="L9" s="511">
        <v>1</v>
      </c>
      <c r="M9" s="511">
        <v>1</v>
      </c>
      <c r="N9" s="511">
        <v>1</v>
      </c>
      <c r="O9" s="511">
        <v>1</v>
      </c>
      <c r="P9" s="511">
        <v>1</v>
      </c>
      <c r="Q9" s="107">
        <v>1</v>
      </c>
      <c r="R9" s="511">
        <v>1</v>
      </c>
      <c r="S9" s="511">
        <v>1</v>
      </c>
      <c r="T9" s="511">
        <v>1</v>
      </c>
      <c r="U9" s="511">
        <v>1</v>
      </c>
      <c r="V9" s="511">
        <v>1</v>
      </c>
      <c r="W9" s="723"/>
      <c r="X9" s="724"/>
      <c r="Y9" s="724"/>
    </row>
    <row r="10" spans="1:25" ht="6.5" hidden="1" customHeight="1" x14ac:dyDescent="0.35">
      <c r="A10" s="153"/>
      <c r="B10" s="153"/>
      <c r="C10" s="154"/>
      <c r="D10" s="154"/>
      <c r="E10" s="154"/>
      <c r="F10" s="155"/>
      <c r="G10" s="146"/>
      <c r="H10" s="146"/>
      <c r="I10" s="146"/>
      <c r="K10" s="146"/>
      <c r="L10" s="507"/>
      <c r="M10" s="507"/>
      <c r="N10" s="507"/>
      <c r="O10" s="507"/>
      <c r="P10" s="507"/>
      <c r="Q10" s="113"/>
      <c r="R10" s="507"/>
      <c r="S10" s="507"/>
      <c r="T10" s="507"/>
      <c r="U10" s="507"/>
      <c r="V10" s="507"/>
      <c r="W10" s="723"/>
      <c r="X10" s="724"/>
      <c r="Y10" s="724"/>
    </row>
    <row r="11" spans="1:25" ht="14.5" hidden="1" customHeight="1" x14ac:dyDescent="0.35">
      <c r="A11" s="160" t="s">
        <v>141</v>
      </c>
      <c r="B11" s="161"/>
      <c r="C11" s="162">
        <f>+C7*C9</f>
        <v>65896.916666666672</v>
      </c>
      <c r="D11" s="162">
        <f>+D7*D9</f>
        <v>65896.916666666672</v>
      </c>
      <c r="E11" s="162">
        <f>+E7*E9</f>
        <v>68762</v>
      </c>
      <c r="F11" s="163">
        <f>+C7*F9</f>
        <v>68762</v>
      </c>
      <c r="G11" s="349">
        <f>ROUND(+G7*(1+G12),0)</f>
        <v>70137</v>
      </c>
      <c r="H11" s="164"/>
      <c r="I11" s="349">
        <f>ROUND(+I7*I9,0)</f>
        <v>71540</v>
      </c>
      <c r="K11" s="487">
        <f t="shared" ref="K11:V11" si="0">ROUND(+K7*K9,0)</f>
        <v>74510</v>
      </c>
      <c r="L11" s="514">
        <f t="shared" si="0"/>
        <v>75618</v>
      </c>
      <c r="M11" s="514">
        <f t="shared" si="0"/>
        <v>72971</v>
      </c>
      <c r="N11" s="514">
        <f t="shared" si="0"/>
        <v>72255</v>
      </c>
      <c r="O11" s="514">
        <f t="shared" si="0"/>
        <v>71540</v>
      </c>
      <c r="P11" s="514">
        <f t="shared" si="0"/>
        <v>74510</v>
      </c>
      <c r="Q11" s="117">
        <f t="shared" si="0"/>
        <v>78499</v>
      </c>
      <c r="R11" s="514">
        <f t="shared" si="0"/>
        <v>80551</v>
      </c>
      <c r="S11" s="514">
        <f t="shared" si="0"/>
        <v>76000</v>
      </c>
      <c r="T11" s="514">
        <f t="shared" si="0"/>
        <v>75255</v>
      </c>
      <c r="U11" s="514">
        <f t="shared" si="0"/>
        <v>74510</v>
      </c>
      <c r="V11" s="514">
        <f t="shared" si="0"/>
        <v>78499</v>
      </c>
      <c r="W11" s="723"/>
      <c r="X11" s="724"/>
      <c r="Y11" s="724"/>
    </row>
    <row r="12" spans="1:25" ht="15" hidden="1" thickBot="1" x14ac:dyDescent="0.4">
      <c r="A12" s="141" t="s">
        <v>400</v>
      </c>
      <c r="B12" s="153"/>
      <c r="C12" s="157">
        <v>0</v>
      </c>
      <c r="D12" s="157">
        <v>0</v>
      </c>
      <c r="E12" s="157">
        <v>0</v>
      </c>
      <c r="F12" s="158">
        <v>0</v>
      </c>
      <c r="G12" s="357">
        <v>0.02</v>
      </c>
      <c r="H12" s="159"/>
      <c r="I12" s="547">
        <f>+I11/G11-1</f>
        <v>2.0003707030525897E-2</v>
      </c>
      <c r="K12" s="547">
        <f>+K11/I11-1</f>
        <v>4.1515236231478791E-2</v>
      </c>
      <c r="L12" s="512">
        <f>+L11/O11-1</f>
        <v>5.7003075202683773E-2</v>
      </c>
      <c r="M12" s="512">
        <f>+M11/O11-1</f>
        <v>2.0002795638803361E-2</v>
      </c>
      <c r="N12" s="512">
        <f>+N11/O11-1</f>
        <v>9.9944087223931E-3</v>
      </c>
      <c r="O12" s="513">
        <v>0</v>
      </c>
      <c r="P12" s="512">
        <f>+P11/O11-1</f>
        <v>4.1515236231478791E-2</v>
      </c>
      <c r="Q12" s="381">
        <f>+Q11/K11-1</f>
        <v>5.3536438062005143E-2</v>
      </c>
      <c r="R12" s="512">
        <f>+R11/$K11-1</f>
        <v>8.1076365588511612E-2</v>
      </c>
      <c r="S12" s="512">
        <f>+S11/$K11-1</f>
        <v>1.9997315796537407E-2</v>
      </c>
      <c r="T12" s="512">
        <f>+T11/$K11-1</f>
        <v>9.9986578982687035E-3</v>
      </c>
      <c r="U12" s="512">
        <f>+U11/$K11-1</f>
        <v>0</v>
      </c>
      <c r="V12" s="512">
        <f>+V11/$K11-1</f>
        <v>5.3536438062005143E-2</v>
      </c>
      <c r="W12" s="723"/>
      <c r="X12" s="724"/>
      <c r="Y12" s="724"/>
    </row>
    <row r="13" spans="1:25" ht="15" hidden="1" customHeight="1" x14ac:dyDescent="0.35">
      <c r="A13" s="1665" t="s">
        <v>398</v>
      </c>
      <c r="B13" s="153"/>
      <c r="C13" s="154"/>
      <c r="D13" s="154"/>
      <c r="E13" s="154"/>
      <c r="F13" s="155"/>
      <c r="G13" s="146"/>
      <c r="H13" s="146"/>
      <c r="I13" s="146"/>
      <c r="K13" s="146"/>
      <c r="L13" s="507"/>
      <c r="M13" s="507"/>
      <c r="N13" s="507"/>
      <c r="O13" s="507"/>
      <c r="P13" s="507"/>
      <c r="Q13" s="113"/>
      <c r="R13" s="507"/>
      <c r="S13" s="507"/>
      <c r="T13" s="507"/>
      <c r="U13" s="507"/>
      <c r="V13" s="507"/>
      <c r="W13" s="734"/>
      <c r="X13" s="735"/>
      <c r="Y13" s="735"/>
    </row>
    <row r="14" spans="1:25" ht="14.5" hidden="1" customHeight="1" x14ac:dyDescent="0.35">
      <c r="A14" s="1665"/>
      <c r="B14" s="153"/>
      <c r="C14" s="96">
        <f>+C28</f>
        <v>0</v>
      </c>
      <c r="D14" s="96">
        <f>+D28</f>
        <v>0</v>
      </c>
      <c r="E14" s="96">
        <f>+E28</f>
        <v>8015</v>
      </c>
      <c r="F14" s="106">
        <f>+F28</f>
        <v>0</v>
      </c>
      <c r="G14" s="165">
        <f>+G30</f>
        <v>2600</v>
      </c>
      <c r="H14" s="165"/>
      <c r="I14" s="165">
        <f>+I30</f>
        <v>3467</v>
      </c>
      <c r="K14" s="165">
        <f t="shared" ref="K14:V14" si="1">+K30</f>
        <v>0</v>
      </c>
      <c r="L14" s="515">
        <f t="shared" si="1"/>
        <v>0</v>
      </c>
      <c r="M14" s="515">
        <f t="shared" si="1"/>
        <v>3467</v>
      </c>
      <c r="N14" s="515">
        <f t="shared" si="1"/>
        <v>3467</v>
      </c>
      <c r="O14" s="515">
        <f t="shared" si="1"/>
        <v>3467</v>
      </c>
      <c r="P14" s="515">
        <f t="shared" si="1"/>
        <v>3467</v>
      </c>
      <c r="Q14" s="108">
        <f t="shared" si="1"/>
        <v>0</v>
      </c>
      <c r="R14" s="515">
        <f t="shared" si="1"/>
        <v>0</v>
      </c>
      <c r="S14" s="515">
        <f t="shared" si="1"/>
        <v>0</v>
      </c>
      <c r="T14" s="515">
        <f t="shared" si="1"/>
        <v>0</v>
      </c>
      <c r="U14" s="515">
        <f t="shared" si="1"/>
        <v>0</v>
      </c>
      <c r="V14" s="515">
        <f t="shared" si="1"/>
        <v>0</v>
      </c>
      <c r="W14" s="734"/>
      <c r="X14" s="735"/>
      <c r="Y14" s="735"/>
    </row>
    <row r="15" spans="1:25" ht="8" hidden="1" customHeight="1" thickBot="1" x14ac:dyDescent="0.4">
      <c r="A15" s="166"/>
      <c r="B15" s="153"/>
      <c r="C15" s="154"/>
      <c r="D15" s="154"/>
      <c r="E15" s="154"/>
      <c r="F15" s="155"/>
      <c r="G15" s="146"/>
      <c r="H15" s="146"/>
      <c r="I15" s="146"/>
      <c r="K15" s="146"/>
      <c r="L15" s="507"/>
      <c r="M15" s="507"/>
      <c r="N15" s="507"/>
      <c r="O15" s="507"/>
      <c r="P15" s="507"/>
      <c r="Q15" s="113"/>
      <c r="R15" s="507"/>
      <c r="S15" s="507"/>
      <c r="T15" s="507"/>
      <c r="U15" s="507"/>
      <c r="V15" s="507"/>
      <c r="W15" s="708"/>
      <c r="X15" s="708"/>
      <c r="Y15" s="708"/>
    </row>
    <row r="16" spans="1:25" ht="14.5" customHeight="1" x14ac:dyDescent="0.35">
      <c r="A16" s="160" t="s">
        <v>141</v>
      </c>
      <c r="B16" s="161"/>
      <c r="C16" s="162">
        <f>+C11+C14</f>
        <v>65896.916666666672</v>
      </c>
      <c r="D16" s="162">
        <f>+D11+D14</f>
        <v>65896.916666666672</v>
      </c>
      <c r="E16" s="162">
        <f>+E11+E14</f>
        <v>76777</v>
      </c>
      <c r="F16" s="163">
        <f>+F11+F14</f>
        <v>68762</v>
      </c>
      <c r="G16" s="349">
        <f>+G11+G14</f>
        <v>72737</v>
      </c>
      <c r="H16" s="164">
        <f>50297+22440</f>
        <v>72737</v>
      </c>
      <c r="I16" s="349">
        <f>+I11+I14</f>
        <v>75007</v>
      </c>
      <c r="K16" s="349">
        <f t="shared" ref="K16:V16" si="2">+K11+K14</f>
        <v>74510</v>
      </c>
      <c r="L16" s="514">
        <f t="shared" si="2"/>
        <v>75618</v>
      </c>
      <c r="M16" s="514">
        <f t="shared" si="2"/>
        <v>76438</v>
      </c>
      <c r="N16" s="514">
        <f t="shared" si="2"/>
        <v>75722</v>
      </c>
      <c r="O16" s="514">
        <f t="shared" si="2"/>
        <v>75007</v>
      </c>
      <c r="P16" s="514">
        <f t="shared" si="2"/>
        <v>77977</v>
      </c>
      <c r="Q16" s="117">
        <f t="shared" si="2"/>
        <v>78499</v>
      </c>
      <c r="R16" s="514">
        <f t="shared" si="2"/>
        <v>80551</v>
      </c>
      <c r="S16" s="514">
        <f t="shared" si="2"/>
        <v>76000</v>
      </c>
      <c r="T16" s="514">
        <f t="shared" si="2"/>
        <v>75255</v>
      </c>
      <c r="U16" s="514">
        <f t="shared" si="2"/>
        <v>74510</v>
      </c>
      <c r="V16" s="766">
        <f t="shared" si="2"/>
        <v>78499</v>
      </c>
      <c r="W16" s="1674"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675"/>
      <c r="Y16" s="1676"/>
    </row>
    <row r="17" spans="1:25" x14ac:dyDescent="0.35">
      <c r="A17" s="153" t="s">
        <v>417</v>
      </c>
      <c r="B17" s="153"/>
      <c r="C17" s="104">
        <v>7.6499999999999999E-2</v>
      </c>
      <c r="D17" s="104">
        <v>7.6499999999999999E-2</v>
      </c>
      <c r="E17" s="104">
        <v>7.6499999999999999E-2</v>
      </c>
      <c r="F17" s="105">
        <v>7.6499999999999999E-2</v>
      </c>
      <c r="G17" s="167">
        <v>7.6499999999999999E-2</v>
      </c>
      <c r="H17" s="167">
        <v>7.6499999999999999E-2</v>
      </c>
      <c r="I17" s="167">
        <v>7.6499999999999999E-2</v>
      </c>
      <c r="K17" s="382">
        <v>7.6499999999999999E-2</v>
      </c>
      <c r="L17" s="516">
        <v>7.6499999999999999E-2</v>
      </c>
      <c r="M17" s="516">
        <v>7.6499999999999999E-2</v>
      </c>
      <c r="N17" s="516">
        <v>7.6499999999999999E-2</v>
      </c>
      <c r="O17" s="516">
        <v>7.6499999999999999E-2</v>
      </c>
      <c r="P17" s="516">
        <v>7.6499999999999999E-2</v>
      </c>
      <c r="Q17" s="555">
        <v>7.6499999999999999E-2</v>
      </c>
      <c r="R17" s="702">
        <f>+$Q17</f>
        <v>7.6499999999999999E-2</v>
      </c>
      <c r="S17" s="703">
        <f>+$Q17</f>
        <v>7.6499999999999999E-2</v>
      </c>
      <c r="T17" s="703">
        <f>+$Q17</f>
        <v>7.6499999999999999E-2</v>
      </c>
      <c r="U17" s="703">
        <f>+$Q17</f>
        <v>7.6499999999999999E-2</v>
      </c>
      <c r="V17" s="769">
        <f>+$Q17</f>
        <v>7.6499999999999999E-2</v>
      </c>
      <c r="W17" s="1677"/>
      <c r="X17" s="1678"/>
      <c r="Y17" s="1679"/>
    </row>
    <row r="18" spans="1:25" x14ac:dyDescent="0.35">
      <c r="A18" s="153" t="s">
        <v>229</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5">
        <f t="shared" si="4"/>
        <v>5785</v>
      </c>
      <c r="M18" s="515">
        <f t="shared" si="4"/>
        <v>5848</v>
      </c>
      <c r="N18" s="515">
        <f t="shared" si="4"/>
        <v>5793</v>
      </c>
      <c r="O18" s="515">
        <f t="shared" si="4"/>
        <v>5738</v>
      </c>
      <c r="P18" s="515">
        <f t="shared" si="4"/>
        <v>5965</v>
      </c>
      <c r="Q18" s="108">
        <f t="shared" si="4"/>
        <v>6005</v>
      </c>
      <c r="R18" s="515">
        <f t="shared" si="4"/>
        <v>6162</v>
      </c>
      <c r="S18" s="515">
        <f t="shared" si="4"/>
        <v>5814</v>
      </c>
      <c r="T18" s="515">
        <f t="shared" si="4"/>
        <v>5757</v>
      </c>
      <c r="U18" s="515">
        <f t="shared" si="4"/>
        <v>5700</v>
      </c>
      <c r="V18" s="764">
        <f t="shared" si="4"/>
        <v>6005</v>
      </c>
      <c r="W18" s="1677"/>
      <c r="X18" s="1678"/>
      <c r="Y18" s="1679"/>
    </row>
    <row r="19" spans="1:25" ht="15" thickBot="1" x14ac:dyDescent="0.4">
      <c r="A19" s="168" t="s">
        <v>143</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7">
        <f t="shared" si="6"/>
        <v>81403</v>
      </c>
      <c r="M19" s="517">
        <f t="shared" si="6"/>
        <v>82286</v>
      </c>
      <c r="N19" s="517">
        <f t="shared" si="6"/>
        <v>81515</v>
      </c>
      <c r="O19" s="517">
        <f t="shared" si="6"/>
        <v>80745</v>
      </c>
      <c r="P19" s="517">
        <f t="shared" si="6"/>
        <v>83942</v>
      </c>
      <c r="Q19" s="119">
        <f t="shared" si="6"/>
        <v>84504</v>
      </c>
      <c r="R19" s="517">
        <f t="shared" si="6"/>
        <v>86713</v>
      </c>
      <c r="S19" s="517">
        <f t="shared" si="6"/>
        <v>81814</v>
      </c>
      <c r="T19" s="517">
        <f t="shared" si="6"/>
        <v>81012</v>
      </c>
      <c r="U19" s="517">
        <f t="shared" si="6"/>
        <v>80210</v>
      </c>
      <c r="V19" s="768">
        <f t="shared" si="6"/>
        <v>84504</v>
      </c>
      <c r="W19" s="1680"/>
      <c r="X19" s="1681"/>
      <c r="Y19" s="1682"/>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72"/>
      <c r="X20" s="772"/>
      <c r="Y20" s="772"/>
    </row>
    <row r="21" spans="1:25" x14ac:dyDescent="0.35">
      <c r="A21" s="174" t="s">
        <v>147</v>
      </c>
      <c r="B21" s="139"/>
      <c r="C21" s="175"/>
      <c r="D21" s="175"/>
      <c r="E21" s="175"/>
      <c r="F21" s="176"/>
      <c r="G21" s="140"/>
      <c r="H21" s="176"/>
      <c r="I21" s="140"/>
      <c r="K21" s="140"/>
      <c r="L21" s="505"/>
      <c r="M21" s="518"/>
      <c r="N21" s="518"/>
      <c r="O21" s="518"/>
      <c r="P21" s="518"/>
      <c r="Q21" s="111"/>
      <c r="R21" s="505"/>
      <c r="S21" s="518"/>
      <c r="T21" s="518"/>
      <c r="U21" s="518"/>
      <c r="V21" s="770"/>
      <c r="W21" s="772"/>
      <c r="X21" s="772"/>
      <c r="Y21" s="772"/>
    </row>
    <row r="22" spans="1:25" x14ac:dyDescent="0.35">
      <c r="A22" s="153" t="s">
        <v>144</v>
      </c>
      <c r="B22" s="153"/>
      <c r="C22" s="96">
        <f>6011.15*C9</f>
        <v>5760.6854166666662</v>
      </c>
      <c r="D22" s="96"/>
      <c r="E22" s="96">
        <f>6011.15*E9</f>
        <v>6011.15</v>
      </c>
      <c r="F22" s="106">
        <f>6011.15</f>
        <v>6011.15</v>
      </c>
      <c r="G22" s="354">
        <v>4973</v>
      </c>
      <c r="H22" s="103"/>
      <c r="I22" s="354">
        <v>5121</v>
      </c>
      <c r="J22" s="485"/>
      <c r="K22" s="354">
        <v>5121</v>
      </c>
      <c r="L22" s="519">
        <v>5121</v>
      </c>
      <c r="M22" s="520">
        <v>5121</v>
      </c>
      <c r="N22" s="520">
        <v>5121</v>
      </c>
      <c r="O22" s="520">
        <v>5121</v>
      </c>
      <c r="P22" s="520">
        <v>5121</v>
      </c>
      <c r="Q22" s="554">
        <v>5385</v>
      </c>
      <c r="R22" s="515">
        <f>+$Q22</f>
        <v>5385</v>
      </c>
      <c r="S22" s="515">
        <f t="shared" ref="S22:V23" si="7">+$Q22</f>
        <v>5385</v>
      </c>
      <c r="T22" s="515">
        <f t="shared" si="7"/>
        <v>5385</v>
      </c>
      <c r="U22" s="515">
        <f t="shared" si="7"/>
        <v>5385</v>
      </c>
      <c r="V22" s="515">
        <f t="shared" si="7"/>
        <v>5385</v>
      </c>
      <c r="W22" s="109" t="s">
        <v>378</v>
      </c>
    </row>
    <row r="23" spans="1:25" x14ac:dyDescent="0.35">
      <c r="A23" s="153" t="s">
        <v>164</v>
      </c>
      <c r="B23" s="153"/>
      <c r="C23" s="95">
        <v>0</v>
      </c>
      <c r="D23" s="95">
        <v>0</v>
      </c>
      <c r="E23" s="95">
        <v>0</v>
      </c>
      <c r="F23" s="103">
        <v>0</v>
      </c>
      <c r="G23" s="354">
        <v>2600</v>
      </c>
      <c r="H23" s="103"/>
      <c r="I23" s="354">
        <v>2600</v>
      </c>
      <c r="J23" s="116"/>
      <c r="K23" s="354">
        <v>2600</v>
      </c>
      <c r="L23" s="519">
        <v>2600</v>
      </c>
      <c r="M23" s="520">
        <v>2600</v>
      </c>
      <c r="N23" s="520">
        <v>2600</v>
      </c>
      <c r="O23" s="520">
        <v>2600</v>
      </c>
      <c r="P23" s="520">
        <v>2600</v>
      </c>
      <c r="Q23" s="554">
        <v>4420</v>
      </c>
      <c r="R23" s="515">
        <f>+$Q23</f>
        <v>4420</v>
      </c>
      <c r="S23" s="515">
        <f t="shared" si="7"/>
        <v>4420</v>
      </c>
      <c r="T23" s="515">
        <f t="shared" si="7"/>
        <v>4420</v>
      </c>
      <c r="U23" s="515">
        <f t="shared" si="7"/>
        <v>4420</v>
      </c>
      <c r="V23" s="515">
        <f t="shared" si="7"/>
        <v>4420</v>
      </c>
      <c r="W23" s="109" t="s">
        <v>378</v>
      </c>
    </row>
    <row r="24" spans="1:25" ht="14.5" hidden="1" customHeight="1" x14ac:dyDescent="0.35">
      <c r="A24" s="153" t="s">
        <v>165</v>
      </c>
      <c r="B24" s="153"/>
      <c r="C24" s="96">
        <f>+C22+C23</f>
        <v>5760.6854166666662</v>
      </c>
      <c r="D24" s="96">
        <f>+D22+D23</f>
        <v>0</v>
      </c>
      <c r="E24" s="96">
        <f>+E22+E23</f>
        <v>6011.15</v>
      </c>
      <c r="F24" s="106">
        <f>+F22+F23</f>
        <v>6011.15</v>
      </c>
      <c r="G24" s="165">
        <f>+G22+G23</f>
        <v>7573</v>
      </c>
      <c r="H24" s="103"/>
      <c r="I24" s="165">
        <f>+I22+I23</f>
        <v>7721</v>
      </c>
      <c r="J24" s="1669" t="s">
        <v>236</v>
      </c>
      <c r="K24" s="165">
        <f t="shared" ref="K24:V24" si="8">+K22+K23</f>
        <v>7721</v>
      </c>
      <c r="L24" s="515">
        <f t="shared" si="8"/>
        <v>7721</v>
      </c>
      <c r="M24" s="521">
        <f t="shared" si="8"/>
        <v>7721</v>
      </c>
      <c r="N24" s="521">
        <f t="shared" si="8"/>
        <v>7721</v>
      </c>
      <c r="O24" s="521">
        <f t="shared" si="8"/>
        <v>7721</v>
      </c>
      <c r="P24" s="521">
        <f t="shared" si="8"/>
        <v>7721</v>
      </c>
      <c r="Q24" s="108">
        <f t="shared" si="8"/>
        <v>9805</v>
      </c>
      <c r="R24" s="515">
        <f t="shared" si="8"/>
        <v>9805</v>
      </c>
      <c r="S24" s="521">
        <f t="shared" si="8"/>
        <v>9805</v>
      </c>
      <c r="T24" s="521">
        <f t="shared" si="8"/>
        <v>9805</v>
      </c>
      <c r="U24" s="521">
        <f t="shared" si="8"/>
        <v>9805</v>
      </c>
      <c r="V24" s="521">
        <f t="shared" si="8"/>
        <v>9805</v>
      </c>
    </row>
    <row r="25" spans="1:25" ht="5" hidden="1" customHeight="1" x14ac:dyDescent="0.35">
      <c r="A25" s="153"/>
      <c r="B25" s="153"/>
      <c r="C25" s="104">
        <v>0.25</v>
      </c>
      <c r="D25" s="104"/>
      <c r="E25" s="104">
        <v>0.25</v>
      </c>
      <c r="F25" s="105">
        <v>0.25</v>
      </c>
      <c r="G25" s="382">
        <v>0.25</v>
      </c>
      <c r="H25" s="105"/>
      <c r="I25" s="382"/>
      <c r="J25" s="1669"/>
      <c r="K25" s="382"/>
      <c r="L25" s="522"/>
      <c r="M25" s="523"/>
      <c r="N25" s="523"/>
      <c r="O25" s="523"/>
      <c r="P25" s="523"/>
      <c r="Q25" s="555"/>
      <c r="R25" s="522"/>
      <c r="S25" s="523"/>
      <c r="T25" s="523"/>
      <c r="U25" s="523"/>
      <c r="V25" s="523"/>
    </row>
    <row r="26" spans="1:25" hidden="1" x14ac:dyDescent="0.35">
      <c r="A26" s="161" t="s">
        <v>145</v>
      </c>
      <c r="B26" s="161"/>
      <c r="C26" s="177">
        <f>ROUND(+C24/(1-C25),0)</f>
        <v>7681</v>
      </c>
      <c r="D26" s="178">
        <v>8015</v>
      </c>
      <c r="E26" s="177">
        <f>ROUND(+E24/(1-E25),0)</f>
        <v>8015</v>
      </c>
      <c r="F26" s="177">
        <f>ROUND(+F24/(1-F25),0)</f>
        <v>8015</v>
      </c>
      <c r="G26" s="355">
        <f>ROUND(+G24/(1-G25),0)</f>
        <v>10097</v>
      </c>
      <c r="H26" s="179"/>
      <c r="I26" s="355">
        <f>+I24</f>
        <v>7721</v>
      </c>
      <c r="J26" s="1669"/>
      <c r="K26" s="355">
        <f>+K22+K23</f>
        <v>7721</v>
      </c>
      <c r="L26" s="524">
        <f>+L24</f>
        <v>7721</v>
      </c>
      <c r="M26" s="525">
        <f>+M24</f>
        <v>7721</v>
      </c>
      <c r="N26" s="525">
        <f>+N24</f>
        <v>7721</v>
      </c>
      <c r="O26" s="525">
        <f>+O24</f>
        <v>7721</v>
      </c>
      <c r="P26" s="525">
        <f>+P24</f>
        <v>7721</v>
      </c>
      <c r="Q26" s="556">
        <f>+Q22+Q23</f>
        <v>9805</v>
      </c>
      <c r="R26" s="524">
        <f>+R24</f>
        <v>9805</v>
      </c>
      <c r="S26" s="525">
        <f>+S24</f>
        <v>9805</v>
      </c>
      <c r="T26" s="525">
        <f>+T24</f>
        <v>9805</v>
      </c>
      <c r="U26" s="525">
        <f>+U24</f>
        <v>9805</v>
      </c>
      <c r="V26" s="525">
        <f>+V24</f>
        <v>9805</v>
      </c>
      <c r="W26" s="109" t="s">
        <v>416</v>
      </c>
    </row>
    <row r="27" spans="1:25" ht="3.5" hidden="1" customHeight="1" x14ac:dyDescent="0.35">
      <c r="A27" s="153"/>
      <c r="B27" s="153"/>
      <c r="C27" s="96"/>
      <c r="D27" s="96"/>
      <c r="E27" s="96"/>
      <c r="F27" s="155"/>
      <c r="G27" s="146"/>
      <c r="H27" s="155"/>
      <c r="I27" s="146"/>
      <c r="J27" s="1669"/>
      <c r="K27" s="146"/>
      <c r="L27" s="507"/>
      <c r="M27" s="526"/>
      <c r="N27" s="526"/>
      <c r="O27" s="526"/>
      <c r="P27" s="526"/>
      <c r="Q27" s="113"/>
      <c r="R27" s="507"/>
      <c r="S27" s="526"/>
      <c r="T27" s="526"/>
      <c r="U27" s="526"/>
      <c r="V27" s="526"/>
    </row>
    <row r="28" spans="1:25" hidden="1" x14ac:dyDescent="0.35">
      <c r="A28" s="153" t="s">
        <v>237</v>
      </c>
      <c r="B28" s="153"/>
      <c r="C28" s="95">
        <v>0</v>
      </c>
      <c r="D28" s="95">
        <v>0</v>
      </c>
      <c r="E28" s="95">
        <v>8015</v>
      </c>
      <c r="F28" s="103">
        <v>0</v>
      </c>
      <c r="G28" s="354"/>
      <c r="H28" s="103"/>
      <c r="I28" s="354">
        <v>2600</v>
      </c>
      <c r="J28" s="1669"/>
      <c r="K28" s="354">
        <v>0</v>
      </c>
      <c r="L28" s="519">
        <v>0</v>
      </c>
      <c r="M28" s="520">
        <v>2600</v>
      </c>
      <c r="N28" s="520">
        <v>2600</v>
      </c>
      <c r="O28" s="520">
        <v>2600</v>
      </c>
      <c r="P28" s="520">
        <v>2600</v>
      </c>
      <c r="Q28" s="554">
        <v>0</v>
      </c>
      <c r="R28" s="515">
        <f t="shared" ref="R28:V29" si="9">+$Q28</f>
        <v>0</v>
      </c>
      <c r="S28" s="515">
        <f t="shared" si="9"/>
        <v>0</v>
      </c>
      <c r="T28" s="515">
        <f t="shared" si="9"/>
        <v>0</v>
      </c>
      <c r="U28" s="515">
        <f t="shared" si="9"/>
        <v>0</v>
      </c>
      <c r="V28" s="515">
        <f t="shared" si="9"/>
        <v>0</v>
      </c>
    </row>
    <row r="29" spans="1:25" hidden="1" x14ac:dyDescent="0.35">
      <c r="A29" s="153" t="s">
        <v>401</v>
      </c>
      <c r="B29" s="153"/>
      <c r="C29" s="104">
        <v>0.25</v>
      </c>
      <c r="D29" s="104"/>
      <c r="E29" s="104">
        <v>0.25</v>
      </c>
      <c r="F29" s="105">
        <v>0.25</v>
      </c>
      <c r="G29" s="167"/>
      <c r="H29" s="105"/>
      <c r="I29" s="382">
        <v>0.25</v>
      </c>
      <c r="J29" s="1669"/>
      <c r="K29" s="382">
        <v>0.25</v>
      </c>
      <c r="L29" s="522">
        <v>0.25</v>
      </c>
      <c r="M29" s="523">
        <v>0.25</v>
      </c>
      <c r="N29" s="523">
        <v>0.25</v>
      </c>
      <c r="O29" s="523">
        <v>0.25</v>
      </c>
      <c r="P29" s="523">
        <v>0.25</v>
      </c>
      <c r="Q29" s="555">
        <v>0.25</v>
      </c>
      <c r="R29" s="702">
        <f t="shared" si="9"/>
        <v>0.25</v>
      </c>
      <c r="S29" s="702">
        <f t="shared" si="9"/>
        <v>0.25</v>
      </c>
      <c r="T29" s="702">
        <f t="shared" si="9"/>
        <v>0.25</v>
      </c>
      <c r="U29" s="702">
        <f t="shared" si="9"/>
        <v>0.25</v>
      </c>
      <c r="V29" s="702">
        <f t="shared" si="9"/>
        <v>0.25</v>
      </c>
    </row>
    <row r="30" spans="1:25" hidden="1" x14ac:dyDescent="0.35">
      <c r="A30" s="161" t="s">
        <v>260</v>
      </c>
      <c r="B30" s="161"/>
      <c r="C30" s="384"/>
      <c r="D30" s="384"/>
      <c r="E30" s="384"/>
      <c r="F30" s="385"/>
      <c r="G30" s="386">
        <v>2600</v>
      </c>
      <c r="H30" s="385"/>
      <c r="I30" s="355">
        <f>ROUND(+I28/(1-I29),0)</f>
        <v>3467</v>
      </c>
      <c r="J30" s="383"/>
      <c r="K30" s="355">
        <f t="shared" ref="K30:V30" si="10">ROUND(+K28/(1-K29),0)</f>
        <v>0</v>
      </c>
      <c r="L30" s="524">
        <f t="shared" si="10"/>
        <v>0</v>
      </c>
      <c r="M30" s="525">
        <f t="shared" si="10"/>
        <v>3467</v>
      </c>
      <c r="N30" s="525">
        <f t="shared" si="10"/>
        <v>3467</v>
      </c>
      <c r="O30" s="525">
        <f t="shared" si="10"/>
        <v>3467</v>
      </c>
      <c r="P30" s="525">
        <f t="shared" si="10"/>
        <v>3467</v>
      </c>
      <c r="Q30" s="556">
        <f t="shared" si="10"/>
        <v>0</v>
      </c>
      <c r="R30" s="524">
        <f t="shared" si="10"/>
        <v>0</v>
      </c>
      <c r="S30" s="525">
        <f t="shared" si="10"/>
        <v>0</v>
      </c>
      <c r="T30" s="525">
        <f t="shared" si="10"/>
        <v>0</v>
      </c>
      <c r="U30" s="525">
        <f t="shared" si="10"/>
        <v>0</v>
      </c>
      <c r="V30" s="525">
        <f t="shared" si="10"/>
        <v>0</v>
      </c>
    </row>
    <row r="31" spans="1:25" x14ac:dyDescent="0.35">
      <c r="A31" s="168" t="s">
        <v>146</v>
      </c>
      <c r="B31" s="168"/>
      <c r="C31" s="170">
        <f>+C26-C28</f>
        <v>7681</v>
      </c>
      <c r="D31" s="170">
        <f>+D26-D28</f>
        <v>8015</v>
      </c>
      <c r="E31" s="170">
        <f>+E26-E28</f>
        <v>0</v>
      </c>
      <c r="F31" s="171">
        <f>+F26-F28</f>
        <v>8015</v>
      </c>
      <c r="G31" s="172">
        <f>+G26-G30</f>
        <v>7497</v>
      </c>
      <c r="H31" s="171"/>
      <c r="I31" s="172">
        <f>+I24-I28</f>
        <v>5121</v>
      </c>
      <c r="K31" s="172">
        <f t="shared" ref="K31:V31" si="11">+K24-K28</f>
        <v>7721</v>
      </c>
      <c r="L31" s="517">
        <f t="shared" si="11"/>
        <v>7721</v>
      </c>
      <c r="M31" s="527">
        <f t="shared" si="11"/>
        <v>5121</v>
      </c>
      <c r="N31" s="527">
        <f t="shared" si="11"/>
        <v>5121</v>
      </c>
      <c r="O31" s="527">
        <f t="shared" si="11"/>
        <v>5121</v>
      </c>
      <c r="P31" s="527">
        <f t="shared" si="11"/>
        <v>5121</v>
      </c>
      <c r="Q31" s="119">
        <f t="shared" si="11"/>
        <v>9805</v>
      </c>
      <c r="R31" s="517">
        <f t="shared" si="11"/>
        <v>9805</v>
      </c>
      <c r="S31" s="527">
        <f t="shared" si="11"/>
        <v>9805</v>
      </c>
      <c r="T31" s="527">
        <f t="shared" si="11"/>
        <v>9805</v>
      </c>
      <c r="U31" s="527">
        <f t="shared" si="11"/>
        <v>9805</v>
      </c>
      <c r="V31" s="527">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402</v>
      </c>
      <c r="B33" s="139"/>
      <c r="C33" s="180">
        <v>0.11</v>
      </c>
      <c r="D33" s="180">
        <v>0.11</v>
      </c>
      <c r="E33" s="180">
        <v>0.11</v>
      </c>
      <c r="F33" s="180">
        <v>0.11</v>
      </c>
      <c r="G33" s="356">
        <v>0.11</v>
      </c>
      <c r="H33" s="180"/>
      <c r="I33" s="356">
        <v>0.11</v>
      </c>
      <c r="K33" s="356">
        <v>0.11</v>
      </c>
      <c r="L33" s="533">
        <v>0.11</v>
      </c>
      <c r="M33" s="528">
        <v>0.11</v>
      </c>
      <c r="N33" s="528">
        <v>0.11</v>
      </c>
      <c r="O33" s="528">
        <v>0.11</v>
      </c>
      <c r="P33" s="528">
        <v>0.11</v>
      </c>
      <c r="Q33" s="550">
        <v>0.11</v>
      </c>
      <c r="R33" s="701">
        <f>+$Q33</f>
        <v>0.11</v>
      </c>
      <c r="S33" s="701">
        <f>+$Q33</f>
        <v>0.11</v>
      </c>
      <c r="T33" s="701">
        <f>+$Q33</f>
        <v>0.11</v>
      </c>
      <c r="U33" s="701">
        <f>+$Q33</f>
        <v>0.11</v>
      </c>
      <c r="V33" s="701">
        <f>+$Q33</f>
        <v>0.11</v>
      </c>
    </row>
    <row r="34" spans="1:22" x14ac:dyDescent="0.35">
      <c r="A34" s="153" t="s">
        <v>150</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6">
        <f t="shared" si="12"/>
        <v>81403</v>
      </c>
      <c r="M34" s="529">
        <f t="shared" si="12"/>
        <v>82286</v>
      </c>
      <c r="N34" s="529">
        <f t="shared" si="12"/>
        <v>81515</v>
      </c>
      <c r="O34" s="529">
        <f t="shared" si="12"/>
        <v>80745</v>
      </c>
      <c r="P34" s="529">
        <f t="shared" si="12"/>
        <v>83942</v>
      </c>
      <c r="Q34" s="112">
        <f t="shared" si="12"/>
        <v>84504</v>
      </c>
      <c r="R34" s="506">
        <f t="shared" si="12"/>
        <v>86713</v>
      </c>
      <c r="S34" s="529">
        <f t="shared" si="12"/>
        <v>81814</v>
      </c>
      <c r="T34" s="529">
        <f t="shared" si="12"/>
        <v>81012</v>
      </c>
      <c r="U34" s="529">
        <f t="shared" si="12"/>
        <v>80210</v>
      </c>
      <c r="V34" s="529">
        <f t="shared" si="12"/>
        <v>84504</v>
      </c>
    </row>
    <row r="35" spans="1:22" x14ac:dyDescent="0.35">
      <c r="A35" s="153" t="s">
        <v>126</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6">
        <f t="shared" si="13"/>
        <v>8954</v>
      </c>
      <c r="M35" s="529">
        <f t="shared" si="13"/>
        <v>9051</v>
      </c>
      <c r="N35" s="529">
        <f t="shared" si="13"/>
        <v>8967</v>
      </c>
      <c r="O35" s="529">
        <f t="shared" si="13"/>
        <v>8882</v>
      </c>
      <c r="P35" s="529">
        <f t="shared" si="13"/>
        <v>9234</v>
      </c>
      <c r="Q35" s="112">
        <f t="shared" si="13"/>
        <v>9295</v>
      </c>
      <c r="R35" s="506">
        <f t="shared" si="13"/>
        <v>9538</v>
      </c>
      <c r="S35" s="529">
        <f t="shared" si="13"/>
        <v>9000</v>
      </c>
      <c r="T35" s="529">
        <f t="shared" si="13"/>
        <v>8911</v>
      </c>
      <c r="U35" s="529">
        <f t="shared" si="13"/>
        <v>8823</v>
      </c>
      <c r="V35" s="529">
        <f t="shared" si="13"/>
        <v>9295</v>
      </c>
    </row>
    <row r="36" spans="1:22" x14ac:dyDescent="0.35">
      <c r="A36" s="153" t="s">
        <v>148</v>
      </c>
      <c r="B36" s="153"/>
      <c r="C36" s="126">
        <f>+C31</f>
        <v>7681</v>
      </c>
      <c r="D36" s="126">
        <f>+D31</f>
        <v>8015</v>
      </c>
      <c r="E36" s="126">
        <f>+E31</f>
        <v>0</v>
      </c>
      <c r="F36" s="126">
        <f>+F31</f>
        <v>8015</v>
      </c>
      <c r="G36" s="143">
        <f>+G31</f>
        <v>7497</v>
      </c>
      <c r="H36" s="190">
        <v>5090</v>
      </c>
      <c r="I36" s="143">
        <f>+I31</f>
        <v>5121</v>
      </c>
      <c r="K36" s="143">
        <f t="shared" ref="K36:V36" si="14">+K31</f>
        <v>7721</v>
      </c>
      <c r="L36" s="506">
        <f t="shared" si="14"/>
        <v>7721</v>
      </c>
      <c r="M36" s="529">
        <f t="shared" si="14"/>
        <v>5121</v>
      </c>
      <c r="N36" s="529">
        <f t="shared" si="14"/>
        <v>5121</v>
      </c>
      <c r="O36" s="529">
        <f t="shared" si="14"/>
        <v>5121</v>
      </c>
      <c r="P36" s="529">
        <f t="shared" si="14"/>
        <v>5121</v>
      </c>
      <c r="Q36" s="112">
        <f t="shared" si="14"/>
        <v>9805</v>
      </c>
      <c r="R36" s="506">
        <f t="shared" si="14"/>
        <v>9805</v>
      </c>
      <c r="S36" s="529">
        <f t="shared" si="14"/>
        <v>9805</v>
      </c>
      <c r="T36" s="529">
        <f t="shared" si="14"/>
        <v>9805</v>
      </c>
      <c r="U36" s="529">
        <f t="shared" si="14"/>
        <v>9805</v>
      </c>
      <c r="V36" s="529">
        <f t="shared" si="14"/>
        <v>9805</v>
      </c>
    </row>
    <row r="37" spans="1:22" x14ac:dyDescent="0.35">
      <c r="A37" s="391" t="s">
        <v>239</v>
      </c>
      <c r="B37" s="391"/>
      <c r="C37" s="392">
        <f t="shared" ref="C37:H37" si="15">+C35+C36</f>
        <v>15484.183387083334</v>
      </c>
      <c r="D37" s="392">
        <f t="shared" si="15"/>
        <v>16767.279612083337</v>
      </c>
      <c r="E37" s="392">
        <f t="shared" si="15"/>
        <v>9091.5484550000001</v>
      </c>
      <c r="F37" s="392">
        <f t="shared" si="15"/>
        <v>16157.452230000001</v>
      </c>
      <c r="G37" s="393">
        <f t="shared" si="15"/>
        <v>16110</v>
      </c>
      <c r="H37" s="564">
        <f t="shared" si="15"/>
        <v>13703</v>
      </c>
      <c r="I37" s="393">
        <f t="shared" ref="I37:Q37" si="16">+I35+I36</f>
        <v>14003</v>
      </c>
      <c r="K37" s="393">
        <f>+K35+K36</f>
        <v>16544</v>
      </c>
      <c r="L37" s="534">
        <f t="shared" si="16"/>
        <v>16675</v>
      </c>
      <c r="M37" s="530">
        <f t="shared" si="16"/>
        <v>14172</v>
      </c>
      <c r="N37" s="530">
        <f t="shared" si="16"/>
        <v>14088</v>
      </c>
      <c r="O37" s="530">
        <f>+O35+O36</f>
        <v>14003</v>
      </c>
      <c r="P37" s="530">
        <f t="shared" si="16"/>
        <v>14355</v>
      </c>
      <c r="Q37" s="551">
        <f t="shared" si="16"/>
        <v>19100</v>
      </c>
      <c r="R37" s="534">
        <f>+R35+R36</f>
        <v>19343</v>
      </c>
      <c r="S37" s="530">
        <f>+S35+S36</f>
        <v>18805</v>
      </c>
      <c r="T37" s="530">
        <f>+T35+T36</f>
        <v>18716</v>
      </c>
      <c r="U37" s="530">
        <f>+U35+U36</f>
        <v>18628</v>
      </c>
      <c r="V37" s="530">
        <f>+V35+V36</f>
        <v>19100</v>
      </c>
    </row>
    <row r="38" spans="1:22" x14ac:dyDescent="0.35">
      <c r="A38" s="153" t="s">
        <v>152</v>
      </c>
      <c r="B38" s="153"/>
      <c r="C38" s="387">
        <f>+C37/C34</f>
        <v>0.21827760390696258</v>
      </c>
      <c r="D38" s="387">
        <f>+D37/D34</f>
        <v>0.23636516865440033</v>
      </c>
      <c r="E38" s="387">
        <f>+E37/E34</f>
        <v>0.11</v>
      </c>
      <c r="F38" s="387">
        <f>+F37/F34</f>
        <v>0.2182781912740801</v>
      </c>
      <c r="G38" s="388">
        <f>+G37/G34</f>
        <v>0.20574349899233257</v>
      </c>
      <c r="H38" s="387"/>
      <c r="I38" s="388">
        <f>+I37/I34</f>
        <v>0.17342250294135861</v>
      </c>
      <c r="K38" s="388">
        <f t="shared" ref="K38:V38" si="17">+K37/K34</f>
        <v>0.20625857125046751</v>
      </c>
      <c r="L38" s="535">
        <f t="shared" si="17"/>
        <v>0.20484503028143927</v>
      </c>
      <c r="M38" s="531">
        <f t="shared" si="17"/>
        <v>0.1722285686508033</v>
      </c>
      <c r="N38" s="531">
        <f t="shared" si="17"/>
        <v>0.17282708703919525</v>
      </c>
      <c r="O38" s="531">
        <f t="shared" si="17"/>
        <v>0.17342250294135861</v>
      </c>
      <c r="P38" s="531">
        <f t="shared" si="17"/>
        <v>0.17101093612256082</v>
      </c>
      <c r="Q38" s="552">
        <f t="shared" si="17"/>
        <v>0.22602480355959481</v>
      </c>
      <c r="R38" s="535">
        <f t="shared" si="17"/>
        <v>0.22306920530946917</v>
      </c>
      <c r="S38" s="531">
        <f t="shared" si="17"/>
        <v>0.22985063681032586</v>
      </c>
      <c r="T38" s="531">
        <f t="shared" si="17"/>
        <v>0.23102750209845455</v>
      </c>
      <c r="U38" s="531">
        <f t="shared" si="17"/>
        <v>0.23224036903129286</v>
      </c>
      <c r="V38" s="531">
        <f t="shared" si="17"/>
        <v>0.22602480355959481</v>
      </c>
    </row>
    <row r="39" spans="1:22" x14ac:dyDescent="0.35">
      <c r="A39" s="153" t="s">
        <v>238</v>
      </c>
      <c r="B39" s="153"/>
      <c r="C39" s="387">
        <f>+C38/C35</f>
        <v>2.7972891713435705E-5</v>
      </c>
      <c r="D39" s="387">
        <f>+D38/D35</f>
        <v>2.7006126304291768E-5</v>
      </c>
      <c r="E39" s="387">
        <f>+E38/E35</f>
        <v>1.2099149066241214E-5</v>
      </c>
      <c r="F39" s="387">
        <f>+F38/F35</f>
        <v>2.6807426695100191E-5</v>
      </c>
      <c r="G39" s="388"/>
      <c r="H39" s="387"/>
      <c r="I39" s="548">
        <v>0.17499999999999999</v>
      </c>
      <c r="K39" s="548">
        <v>0.20499999999999999</v>
      </c>
      <c r="L39" s="513">
        <v>0.17499999999999999</v>
      </c>
      <c r="M39" s="532">
        <v>0.17499999999999999</v>
      </c>
      <c r="N39" s="532">
        <v>0.17499999999999999</v>
      </c>
      <c r="O39" s="532">
        <v>0.17499999999999999</v>
      </c>
      <c r="P39" s="532">
        <v>0.17499999999999999</v>
      </c>
      <c r="Q39" s="553">
        <v>0.22500000000000001</v>
      </c>
      <c r="R39" s="513">
        <v>0.22500000000000001</v>
      </c>
      <c r="S39" s="532">
        <v>0.23</v>
      </c>
      <c r="T39" s="532">
        <v>0.23</v>
      </c>
      <c r="U39" s="532">
        <v>0.20499999999999999</v>
      </c>
      <c r="V39" s="532">
        <v>0.22500000000000001</v>
      </c>
    </row>
    <row r="40" spans="1:22" x14ac:dyDescent="0.35">
      <c r="A40" s="168" t="s">
        <v>149</v>
      </c>
      <c r="B40" s="389"/>
      <c r="C40" s="390"/>
      <c r="D40" s="390"/>
      <c r="E40" s="390"/>
      <c r="F40" s="390"/>
      <c r="G40" s="172">
        <f>+G37</f>
        <v>16110</v>
      </c>
      <c r="H40" s="390"/>
      <c r="I40" s="172">
        <f>ROUND(+I19*I39,0)</f>
        <v>14130</v>
      </c>
      <c r="K40" s="172">
        <f t="shared" ref="K40:V40" si="18">ROUND(+K19*K39,0)</f>
        <v>16443</v>
      </c>
      <c r="L40" s="517">
        <f t="shared" si="18"/>
        <v>14246</v>
      </c>
      <c r="M40" s="527">
        <f t="shared" si="18"/>
        <v>14400</v>
      </c>
      <c r="N40" s="527">
        <f t="shared" si="18"/>
        <v>14265</v>
      </c>
      <c r="O40" s="527">
        <f t="shared" si="18"/>
        <v>14130</v>
      </c>
      <c r="P40" s="527">
        <f t="shared" si="18"/>
        <v>14690</v>
      </c>
      <c r="Q40" s="119">
        <f t="shared" si="18"/>
        <v>19013</v>
      </c>
      <c r="R40" s="517">
        <f t="shared" si="18"/>
        <v>19510</v>
      </c>
      <c r="S40" s="527">
        <f t="shared" si="18"/>
        <v>18817</v>
      </c>
      <c r="T40" s="527">
        <f t="shared" si="18"/>
        <v>18633</v>
      </c>
      <c r="U40" s="527">
        <f t="shared" si="18"/>
        <v>16443</v>
      </c>
      <c r="V40" s="527">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151</v>
      </c>
      <c r="B42" s="139"/>
      <c r="C42" s="175"/>
      <c r="D42" s="175"/>
      <c r="E42" s="175"/>
      <c r="F42" s="176"/>
      <c r="G42" s="140"/>
      <c r="H42" s="176"/>
      <c r="I42" s="140"/>
      <c r="K42" s="140"/>
      <c r="L42" s="505"/>
      <c r="M42" s="518"/>
      <c r="N42" s="518"/>
      <c r="O42" s="518"/>
      <c r="P42" s="518"/>
      <c r="Q42" s="111"/>
      <c r="R42" s="505"/>
      <c r="S42" s="518"/>
      <c r="T42" s="518"/>
      <c r="U42" s="518"/>
      <c r="V42" s="518"/>
    </row>
    <row r="43" spans="1:22" x14ac:dyDescent="0.35">
      <c r="A43" s="153" t="s">
        <v>403</v>
      </c>
      <c r="B43" s="153"/>
      <c r="C43" s="185">
        <v>0.03</v>
      </c>
      <c r="D43" s="185">
        <v>0.03</v>
      </c>
      <c r="E43" s="185">
        <v>0.03</v>
      </c>
      <c r="F43" s="186">
        <v>0.03</v>
      </c>
      <c r="G43" s="357">
        <v>2.5000000000000001E-2</v>
      </c>
      <c r="H43" s="186">
        <v>2.5000000000000001E-2</v>
      </c>
      <c r="I43" s="357">
        <v>1.4999999999999999E-2</v>
      </c>
      <c r="K43" s="357">
        <v>1.4999999999999999E-2</v>
      </c>
      <c r="L43" s="539">
        <v>1.4999999999999999E-2</v>
      </c>
      <c r="M43" s="536">
        <v>1.4999999999999999E-2</v>
      </c>
      <c r="N43" s="536">
        <v>1.4999999999999999E-2</v>
      </c>
      <c r="O43" s="536">
        <v>1.4999999999999999E-2</v>
      </c>
      <c r="P43" s="536">
        <v>1.4999999999999999E-2</v>
      </c>
      <c r="Q43" s="361">
        <v>1.4999999999999999E-2</v>
      </c>
      <c r="R43" s="540">
        <f>+$Q43</f>
        <v>1.4999999999999999E-2</v>
      </c>
      <c r="S43" s="540">
        <f t="shared" ref="S43:V44" si="19">+$Q43</f>
        <v>1.4999999999999999E-2</v>
      </c>
      <c r="T43" s="540">
        <f t="shared" si="19"/>
        <v>1.4999999999999999E-2</v>
      </c>
      <c r="U43" s="540">
        <f t="shared" si="19"/>
        <v>1.4999999999999999E-2</v>
      </c>
      <c r="V43" s="540">
        <f t="shared" si="19"/>
        <v>1.4999999999999999E-2</v>
      </c>
    </row>
    <row r="44" spans="1:22" x14ac:dyDescent="0.35">
      <c r="A44" s="153" t="s">
        <v>404</v>
      </c>
      <c r="B44" s="153"/>
      <c r="C44" s="185">
        <v>3.0000000000000001E-3</v>
      </c>
      <c r="D44" s="185">
        <v>3.0000000000000001E-3</v>
      </c>
      <c r="E44" s="185">
        <v>3.0000000000000001E-3</v>
      </c>
      <c r="F44" s="186">
        <v>3.0000000000000001E-3</v>
      </c>
      <c r="G44" s="357">
        <v>2E-3</v>
      </c>
      <c r="H44" s="186">
        <v>2E-3</v>
      </c>
      <c r="I44" s="357">
        <v>7.0000000000000001E-3</v>
      </c>
      <c r="K44" s="357">
        <v>7.0000000000000001E-3</v>
      </c>
      <c r="L44" s="539">
        <v>7.0000000000000001E-3</v>
      </c>
      <c r="M44" s="536">
        <v>7.0000000000000001E-3</v>
      </c>
      <c r="N44" s="536">
        <v>7.0000000000000001E-3</v>
      </c>
      <c r="O44" s="536">
        <v>7.0000000000000001E-3</v>
      </c>
      <c r="P44" s="536">
        <v>7.0000000000000001E-3</v>
      </c>
      <c r="Q44" s="361">
        <v>7.0000000000000001E-3</v>
      </c>
      <c r="R44" s="540">
        <f>+$Q44</f>
        <v>7.0000000000000001E-3</v>
      </c>
      <c r="S44" s="540">
        <f t="shared" si="19"/>
        <v>7.0000000000000001E-3</v>
      </c>
      <c r="T44" s="540">
        <f t="shared" si="19"/>
        <v>7.0000000000000001E-3</v>
      </c>
      <c r="U44" s="540">
        <f t="shared" si="19"/>
        <v>7.0000000000000001E-3</v>
      </c>
      <c r="V44" s="540">
        <f t="shared" si="19"/>
        <v>7.0000000000000001E-3</v>
      </c>
    </row>
    <row r="45" spans="1:22" hidden="1" x14ac:dyDescent="0.35">
      <c r="A45" s="153" t="s">
        <v>128</v>
      </c>
      <c r="B45" s="153"/>
      <c r="C45" s="185">
        <v>7.0000000000000001E-3</v>
      </c>
      <c r="D45" s="185">
        <v>7.0000000000000001E-3</v>
      </c>
      <c r="E45" s="185">
        <v>7.0000000000000001E-3</v>
      </c>
      <c r="F45" s="186">
        <v>7.0000000000000001E-3</v>
      </c>
      <c r="G45" s="357">
        <v>7.0000000000000001E-3</v>
      </c>
      <c r="H45" s="186">
        <v>7.0000000000000001E-3</v>
      </c>
      <c r="I45" s="357">
        <v>7.0000000000000001E-3</v>
      </c>
      <c r="J45" s="109" t="s">
        <v>283</v>
      </c>
      <c r="K45" s="357">
        <v>0</v>
      </c>
      <c r="L45" s="539">
        <v>0</v>
      </c>
      <c r="M45" s="536">
        <v>0</v>
      </c>
      <c r="N45" s="536">
        <v>0</v>
      </c>
      <c r="O45" s="536">
        <v>0</v>
      </c>
      <c r="P45" s="536">
        <v>0</v>
      </c>
      <c r="Q45" s="361">
        <v>0</v>
      </c>
      <c r="R45" s="539">
        <v>0</v>
      </c>
      <c r="S45" s="536">
        <v>0</v>
      </c>
      <c r="T45" s="536">
        <v>0</v>
      </c>
      <c r="U45" s="536">
        <v>0</v>
      </c>
      <c r="V45" s="536">
        <v>0</v>
      </c>
    </row>
    <row r="46" spans="1:22" x14ac:dyDescent="0.35">
      <c r="A46" s="153" t="s">
        <v>405</v>
      </c>
      <c r="B46" s="153"/>
      <c r="C46" s="187">
        <f t="shared" ref="C46:H46" si="20">+C43+C44+C45</f>
        <v>0.04</v>
      </c>
      <c r="D46" s="187">
        <f t="shared" si="20"/>
        <v>0.04</v>
      </c>
      <c r="E46" s="187">
        <f t="shared" si="20"/>
        <v>0.04</v>
      </c>
      <c r="F46" s="188">
        <f t="shared" si="20"/>
        <v>0.04</v>
      </c>
      <c r="G46" s="358">
        <f t="shared" si="20"/>
        <v>3.4000000000000002E-2</v>
      </c>
      <c r="H46" s="188">
        <f t="shared" si="20"/>
        <v>3.4000000000000002E-2</v>
      </c>
      <c r="I46" s="358">
        <f t="shared" ref="I46:Q46" si="21">+I43+I44+I45</f>
        <v>2.8999999999999998E-2</v>
      </c>
      <c r="K46" s="358">
        <f>+K43+K44+K45</f>
        <v>2.1999999999999999E-2</v>
      </c>
      <c r="L46" s="540">
        <f t="shared" si="21"/>
        <v>2.1999999999999999E-2</v>
      </c>
      <c r="M46" s="537">
        <f t="shared" si="21"/>
        <v>2.1999999999999999E-2</v>
      </c>
      <c r="N46" s="537">
        <f t="shared" si="21"/>
        <v>2.1999999999999999E-2</v>
      </c>
      <c r="O46" s="537">
        <f>+O43+O44+O45</f>
        <v>2.1999999999999999E-2</v>
      </c>
      <c r="P46" s="537">
        <f t="shared" si="21"/>
        <v>2.1999999999999999E-2</v>
      </c>
      <c r="Q46" s="362">
        <f t="shared" si="21"/>
        <v>2.1999999999999999E-2</v>
      </c>
      <c r="R46" s="540">
        <f>+R43+R44+R45</f>
        <v>2.1999999999999999E-2</v>
      </c>
      <c r="S46" s="537">
        <f>+S43+S44+S45</f>
        <v>2.1999999999999999E-2</v>
      </c>
      <c r="T46" s="537">
        <f>+T43+T44+T45</f>
        <v>2.1999999999999999E-2</v>
      </c>
      <c r="U46" s="537">
        <f>+U43+U44+U45</f>
        <v>2.1999999999999999E-2</v>
      </c>
      <c r="V46" s="537">
        <f>+V43+V44+V45</f>
        <v>2.1999999999999999E-2</v>
      </c>
    </row>
    <row r="47" spans="1:22" x14ac:dyDescent="0.35">
      <c r="A47" s="153" t="s">
        <v>150</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6">
        <f t="shared" si="23"/>
        <v>81403</v>
      </c>
      <c r="M47" s="529">
        <f t="shared" si="23"/>
        <v>82286</v>
      </c>
      <c r="N47" s="529">
        <f t="shared" si="23"/>
        <v>81515</v>
      </c>
      <c r="O47" s="529">
        <f>+O19</f>
        <v>80745</v>
      </c>
      <c r="P47" s="529">
        <f t="shared" si="23"/>
        <v>83942</v>
      </c>
      <c r="Q47" s="112">
        <f t="shared" si="23"/>
        <v>84504</v>
      </c>
      <c r="R47" s="506">
        <f>+R19</f>
        <v>86713</v>
      </c>
      <c r="S47" s="529">
        <f>+S19</f>
        <v>81814</v>
      </c>
      <c r="T47" s="529">
        <f>+T19</f>
        <v>81012</v>
      </c>
      <c r="U47" s="529">
        <f>+U19</f>
        <v>80210</v>
      </c>
      <c r="V47" s="529">
        <f>+V19</f>
        <v>84504</v>
      </c>
    </row>
    <row r="48" spans="1:22" ht="29" hidden="1" x14ac:dyDescent="0.35">
      <c r="A48" s="189" t="s">
        <v>156</v>
      </c>
      <c r="B48" s="153"/>
      <c r="C48" s="126">
        <f>+C26</f>
        <v>7681</v>
      </c>
      <c r="D48" s="126">
        <f>+D26</f>
        <v>8015</v>
      </c>
      <c r="E48" s="190">
        <v>0</v>
      </c>
      <c r="F48" s="181">
        <f>+F26</f>
        <v>8015</v>
      </c>
      <c r="G48" s="351">
        <v>0</v>
      </c>
      <c r="H48" s="183">
        <v>0</v>
      </c>
      <c r="I48" s="351">
        <v>0</v>
      </c>
      <c r="K48" s="351">
        <v>0</v>
      </c>
      <c r="L48" s="541">
        <v>0</v>
      </c>
      <c r="M48" s="538">
        <v>0</v>
      </c>
      <c r="N48" s="538">
        <v>0</v>
      </c>
      <c r="O48" s="538">
        <v>0</v>
      </c>
      <c r="P48" s="538">
        <v>0</v>
      </c>
      <c r="Q48" s="192">
        <v>0</v>
      </c>
      <c r="R48" s="541">
        <v>0</v>
      </c>
      <c r="S48" s="538">
        <v>0</v>
      </c>
      <c r="T48" s="538">
        <v>0</v>
      </c>
      <c r="U48" s="538">
        <v>0</v>
      </c>
      <c r="V48" s="538">
        <v>0</v>
      </c>
    </row>
    <row r="49" spans="1:25" hidden="1" x14ac:dyDescent="0.35">
      <c r="A49" s="189" t="s">
        <v>155</v>
      </c>
      <c r="B49" s="153"/>
      <c r="C49" s="126">
        <f>+C31*C17</f>
        <v>587.59649999999999</v>
      </c>
      <c r="D49" s="126">
        <f>+D31*D17</f>
        <v>613.14750000000004</v>
      </c>
      <c r="E49" s="126">
        <f>+E31*E17</f>
        <v>0</v>
      </c>
      <c r="F49" s="181">
        <f>+F31*F17</f>
        <v>613.14750000000004</v>
      </c>
      <c r="G49" s="143"/>
      <c r="H49" s="181"/>
      <c r="I49" s="143"/>
      <c r="K49" s="143"/>
      <c r="L49" s="506"/>
      <c r="M49" s="529"/>
      <c r="N49" s="529"/>
      <c r="O49" s="529"/>
      <c r="P49" s="529"/>
      <c r="Q49" s="112"/>
      <c r="R49" s="506"/>
      <c r="S49" s="529"/>
      <c r="T49" s="529"/>
      <c r="U49" s="529"/>
      <c r="V49" s="529"/>
    </row>
    <row r="50" spans="1:25" hidden="1" x14ac:dyDescent="0.35">
      <c r="A50" s="123" t="s">
        <v>154</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6">
        <f t="shared" si="25"/>
        <v>81403</v>
      </c>
      <c r="M50" s="529">
        <f t="shared" si="25"/>
        <v>82286</v>
      </c>
      <c r="N50" s="529">
        <f t="shared" si="25"/>
        <v>81515</v>
      </c>
      <c r="O50" s="529">
        <f>SUM(O47:O49)</f>
        <v>80745</v>
      </c>
      <c r="P50" s="529">
        <f t="shared" si="25"/>
        <v>83942</v>
      </c>
      <c r="Q50" s="112">
        <f t="shared" si="25"/>
        <v>84504</v>
      </c>
      <c r="R50" s="506">
        <f>SUM(R47:R49)</f>
        <v>86713</v>
      </c>
      <c r="S50" s="529">
        <f>SUM(S47:S49)</f>
        <v>81814</v>
      </c>
      <c r="T50" s="529">
        <f>SUM(T47:T49)</f>
        <v>81012</v>
      </c>
      <c r="U50" s="529">
        <f>SUM(U47:U49)</f>
        <v>80210</v>
      </c>
      <c r="V50" s="529">
        <f>SUM(V47:V49)</f>
        <v>84504</v>
      </c>
    </row>
    <row r="51" spans="1:25" x14ac:dyDescent="0.35">
      <c r="A51" s="129" t="s">
        <v>153</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7">
        <f t="shared" si="26"/>
        <v>1791</v>
      </c>
      <c r="M51" s="527">
        <f t="shared" si="26"/>
        <v>1810</v>
      </c>
      <c r="N51" s="527">
        <f t="shared" si="26"/>
        <v>1793</v>
      </c>
      <c r="O51" s="527">
        <f t="shared" si="26"/>
        <v>1776</v>
      </c>
      <c r="P51" s="527">
        <f t="shared" si="26"/>
        <v>1847</v>
      </c>
      <c r="Q51" s="119">
        <f t="shared" si="26"/>
        <v>1859</v>
      </c>
      <c r="R51" s="517">
        <f t="shared" si="26"/>
        <v>1908</v>
      </c>
      <c r="S51" s="527">
        <f t="shared" si="26"/>
        <v>1800</v>
      </c>
      <c r="T51" s="527">
        <f t="shared" si="26"/>
        <v>1782</v>
      </c>
      <c r="U51" s="527">
        <f t="shared" si="26"/>
        <v>1765</v>
      </c>
      <c r="V51" s="527">
        <f t="shared" si="26"/>
        <v>1859</v>
      </c>
    </row>
    <row r="52" spans="1:25" x14ac:dyDescent="0.35">
      <c r="D52" s="116"/>
      <c r="E52" s="116"/>
      <c r="G52" s="173"/>
      <c r="I52" s="173"/>
      <c r="K52" s="173"/>
    </row>
    <row r="53" spans="1:25" x14ac:dyDescent="0.35">
      <c r="A53" s="120" t="s">
        <v>98</v>
      </c>
      <c r="B53" s="121"/>
      <c r="C53" s="132"/>
      <c r="D53" s="132"/>
      <c r="E53" s="132"/>
      <c r="F53" s="133"/>
      <c r="G53" s="350"/>
      <c r="H53" s="132"/>
      <c r="I53" s="350"/>
      <c r="K53" s="350"/>
      <c r="L53" s="542"/>
      <c r="M53" s="542"/>
      <c r="N53" s="542"/>
      <c r="O53" s="542"/>
      <c r="P53" s="542"/>
      <c r="Q53" s="191"/>
      <c r="R53" s="542"/>
      <c r="S53" s="542"/>
      <c r="T53" s="542"/>
      <c r="U53" s="542"/>
      <c r="V53" s="542"/>
    </row>
    <row r="54" spans="1:25" x14ac:dyDescent="0.35">
      <c r="A54" s="123" t="s">
        <v>158</v>
      </c>
      <c r="B54" s="123"/>
      <c r="C54" s="127">
        <v>1500</v>
      </c>
      <c r="D54" s="127">
        <v>1500</v>
      </c>
      <c r="E54" s="127">
        <v>1500</v>
      </c>
      <c r="F54" s="128">
        <v>1500</v>
      </c>
      <c r="G54" s="351">
        <v>1500</v>
      </c>
      <c r="H54" s="127">
        <v>1500</v>
      </c>
      <c r="I54" s="351">
        <v>1500</v>
      </c>
      <c r="K54" s="351">
        <v>1500</v>
      </c>
      <c r="L54" s="541">
        <v>1500</v>
      </c>
      <c r="M54" s="541">
        <v>1500</v>
      </c>
      <c r="N54" s="541">
        <v>1500</v>
      </c>
      <c r="O54" s="541">
        <v>1500</v>
      </c>
      <c r="P54" s="541">
        <v>1500</v>
      </c>
      <c r="Q54" s="192">
        <v>1500</v>
      </c>
      <c r="R54" s="700">
        <f>+$Q54</f>
        <v>1500</v>
      </c>
      <c r="S54" s="700">
        <f t="shared" ref="S54:V55" si="27">+$Q54</f>
        <v>1500</v>
      </c>
      <c r="T54" s="700">
        <f t="shared" si="27"/>
        <v>1500</v>
      </c>
      <c r="U54" s="700">
        <f t="shared" si="27"/>
        <v>1500</v>
      </c>
      <c r="V54" s="700">
        <f t="shared" si="27"/>
        <v>1500</v>
      </c>
    </row>
    <row r="55" spans="1:25" x14ac:dyDescent="0.35">
      <c r="A55" s="123" t="s">
        <v>406</v>
      </c>
      <c r="B55" s="123"/>
      <c r="C55" s="127">
        <v>1000</v>
      </c>
      <c r="D55" s="127">
        <v>1000</v>
      </c>
      <c r="E55" s="127">
        <v>1000</v>
      </c>
      <c r="F55" s="128">
        <v>1000</v>
      </c>
      <c r="G55" s="351">
        <v>1000</v>
      </c>
      <c r="H55" s="127">
        <v>700</v>
      </c>
      <c r="I55" s="351">
        <v>1000</v>
      </c>
      <c r="K55" s="351">
        <v>1000</v>
      </c>
      <c r="L55" s="541">
        <v>1000</v>
      </c>
      <c r="M55" s="541">
        <v>1000</v>
      </c>
      <c r="N55" s="541">
        <v>1000</v>
      </c>
      <c r="O55" s="541">
        <v>1000</v>
      </c>
      <c r="P55" s="541">
        <v>1000</v>
      </c>
      <c r="Q55" s="192">
        <v>1300</v>
      </c>
      <c r="R55" s="700">
        <f>+$Q55</f>
        <v>1300</v>
      </c>
      <c r="S55" s="700">
        <f t="shared" si="27"/>
        <v>1300</v>
      </c>
      <c r="T55" s="700">
        <f t="shared" si="27"/>
        <v>1300</v>
      </c>
      <c r="U55" s="700">
        <f t="shared" si="27"/>
        <v>1300</v>
      </c>
      <c r="V55" s="700">
        <f t="shared" si="27"/>
        <v>1300</v>
      </c>
    </row>
    <row r="56" spans="1:25" x14ac:dyDescent="0.35">
      <c r="A56" s="123" t="s">
        <v>418</v>
      </c>
      <c r="B56" s="123"/>
      <c r="C56" s="127"/>
      <c r="D56" s="127"/>
      <c r="E56" s="127"/>
      <c r="F56" s="128"/>
      <c r="G56" s="351"/>
      <c r="H56" s="127"/>
      <c r="I56" s="351"/>
      <c r="K56" s="351"/>
      <c r="L56" s="541"/>
      <c r="M56" s="541"/>
      <c r="N56" s="541"/>
      <c r="O56" s="541"/>
      <c r="P56" s="541"/>
      <c r="Q56" s="192"/>
      <c r="R56" s="700"/>
      <c r="S56" s="700"/>
      <c r="T56" s="700"/>
      <c r="U56" s="700"/>
      <c r="V56" s="700"/>
    </row>
    <row r="57" spans="1:25" x14ac:dyDescent="0.35">
      <c r="A57" s="123" t="s">
        <v>98</v>
      </c>
      <c r="B57" s="123"/>
      <c r="C57" s="127">
        <v>600</v>
      </c>
      <c r="D57" s="127">
        <v>600</v>
      </c>
      <c r="E57" s="127">
        <v>600</v>
      </c>
      <c r="F57" s="128">
        <v>600</v>
      </c>
      <c r="G57" s="351">
        <v>600</v>
      </c>
      <c r="H57" s="127">
        <v>600</v>
      </c>
      <c r="I57" s="351">
        <v>600</v>
      </c>
      <c r="K57" s="351">
        <v>600</v>
      </c>
      <c r="L57" s="541">
        <v>600</v>
      </c>
      <c r="M57" s="541">
        <v>600</v>
      </c>
      <c r="N57" s="541">
        <v>600</v>
      </c>
      <c r="O57" s="541">
        <v>600</v>
      </c>
      <c r="P57" s="541">
        <v>600</v>
      </c>
      <c r="Q57" s="192">
        <v>600</v>
      </c>
      <c r="R57" s="700">
        <f>+$Q57</f>
        <v>600</v>
      </c>
      <c r="S57" s="700">
        <f t="shared" ref="S57:V58" si="28">+$Q57</f>
        <v>600</v>
      </c>
      <c r="T57" s="700">
        <f t="shared" si="28"/>
        <v>600</v>
      </c>
      <c r="U57" s="700">
        <f t="shared" si="28"/>
        <v>600</v>
      </c>
      <c r="V57" s="700">
        <f t="shared" si="28"/>
        <v>600</v>
      </c>
    </row>
    <row r="58" spans="1:25" x14ac:dyDescent="0.35">
      <c r="A58" s="153" t="s">
        <v>168</v>
      </c>
      <c r="B58" s="153"/>
      <c r="C58" s="154"/>
      <c r="D58" s="154"/>
      <c r="E58" s="154"/>
      <c r="F58" s="155"/>
      <c r="G58" s="351">
        <f>40*12</f>
        <v>480</v>
      </c>
      <c r="H58" s="563">
        <f>25*12</f>
        <v>300</v>
      </c>
      <c r="I58" s="351">
        <f>ROUND(40*12,0)</f>
        <v>480</v>
      </c>
      <c r="K58" s="351">
        <f t="shared" ref="K58:Q58" si="29">ROUND(40*12,0)</f>
        <v>480</v>
      </c>
      <c r="L58" s="541">
        <f t="shared" si="29"/>
        <v>480</v>
      </c>
      <c r="M58" s="541">
        <f t="shared" si="29"/>
        <v>480</v>
      </c>
      <c r="N58" s="541">
        <f t="shared" si="29"/>
        <v>480</v>
      </c>
      <c r="O58" s="541">
        <f t="shared" si="29"/>
        <v>480</v>
      </c>
      <c r="P58" s="541">
        <f t="shared" si="29"/>
        <v>480</v>
      </c>
      <c r="Q58" s="192">
        <f t="shared" si="29"/>
        <v>480</v>
      </c>
      <c r="R58" s="700">
        <f>+$Q58</f>
        <v>480</v>
      </c>
      <c r="S58" s="700">
        <f t="shared" si="28"/>
        <v>480</v>
      </c>
      <c r="T58" s="700">
        <f t="shared" si="28"/>
        <v>480</v>
      </c>
      <c r="U58" s="700">
        <f t="shared" si="28"/>
        <v>480</v>
      </c>
      <c r="V58" s="700">
        <f t="shared" si="28"/>
        <v>480</v>
      </c>
    </row>
    <row r="59" spans="1:25" x14ac:dyDescent="0.35">
      <c r="A59" s="134" t="s">
        <v>160</v>
      </c>
      <c r="B59" s="134"/>
      <c r="C59" s="135">
        <f t="shared" ref="C59:H59" si="30">+SUM(C54:C58)</f>
        <v>3100</v>
      </c>
      <c r="D59" s="135">
        <f t="shared" si="30"/>
        <v>3100</v>
      </c>
      <c r="E59" s="135">
        <f t="shared" si="30"/>
        <v>3100</v>
      </c>
      <c r="F59" s="136">
        <f t="shared" si="30"/>
        <v>3100</v>
      </c>
      <c r="G59" s="352">
        <f t="shared" si="30"/>
        <v>3580</v>
      </c>
      <c r="H59" s="135">
        <f t="shared" si="30"/>
        <v>3100</v>
      </c>
      <c r="I59" s="352">
        <f t="shared" ref="I59:P59" si="31">+SUM(I54:I58)</f>
        <v>3580</v>
      </c>
      <c r="K59" s="352">
        <f>+SUM(K54:K58)</f>
        <v>3580</v>
      </c>
      <c r="L59" s="543">
        <f t="shared" si="31"/>
        <v>3580</v>
      </c>
      <c r="M59" s="543">
        <f t="shared" si="31"/>
        <v>3580</v>
      </c>
      <c r="N59" s="543">
        <f t="shared" si="31"/>
        <v>3580</v>
      </c>
      <c r="O59" s="543">
        <f>+SUM(O54:O58)</f>
        <v>3580</v>
      </c>
      <c r="P59" s="543">
        <f t="shared" si="31"/>
        <v>3580</v>
      </c>
      <c r="Q59" s="193">
        <f t="shared" ref="Q59:V59" si="32">+SUM(Q54:Q58)</f>
        <v>3880</v>
      </c>
      <c r="R59" s="543">
        <f t="shared" si="32"/>
        <v>3880</v>
      </c>
      <c r="S59" s="543">
        <f t="shared" si="32"/>
        <v>3880</v>
      </c>
      <c r="T59" s="543">
        <f t="shared" si="32"/>
        <v>3880</v>
      </c>
      <c r="U59" s="543">
        <f t="shared" si="32"/>
        <v>3880</v>
      </c>
      <c r="V59" s="543">
        <f t="shared" si="32"/>
        <v>3880</v>
      </c>
    </row>
    <row r="60" spans="1:25" ht="7.5" customHeight="1" thickBot="1" x14ac:dyDescent="0.4">
      <c r="G60" s="173"/>
      <c r="I60" s="154"/>
      <c r="K60" s="173"/>
    </row>
    <row r="61" spans="1:25" ht="15.5" thickTop="1" thickBot="1" x14ac:dyDescent="0.4">
      <c r="A61" s="426" t="s">
        <v>159</v>
      </c>
      <c r="B61" s="716"/>
      <c r="C61" s="717">
        <f t="shared" ref="C61:I61" si="33">+C19+C37+C51+C59</f>
        <v>92690.479270416676</v>
      </c>
      <c r="D61" s="717">
        <f t="shared" si="33"/>
        <v>93988.957535416688</v>
      </c>
      <c r="E61" s="717">
        <f t="shared" si="33"/>
        <v>98149.006574999992</v>
      </c>
      <c r="F61" s="718">
        <f t="shared" si="33"/>
        <v>96586.762849999999</v>
      </c>
      <c r="G61" s="719">
        <f t="shared" si="33"/>
        <v>100653.3805</v>
      </c>
      <c r="H61" s="717">
        <f t="shared" si="33"/>
        <v>97766.380499999999</v>
      </c>
      <c r="I61" s="719">
        <f t="shared" si="33"/>
        <v>100670</v>
      </c>
      <c r="J61" s="720"/>
      <c r="K61" s="719">
        <f t="shared" ref="K61:P61" si="34">+K19+K37+K51+K59</f>
        <v>102099</v>
      </c>
      <c r="L61" s="721">
        <f>+L19+L37+L51+L59</f>
        <v>103449</v>
      </c>
      <c r="M61" s="721">
        <f t="shared" si="34"/>
        <v>101848</v>
      </c>
      <c r="N61" s="721">
        <f t="shared" si="34"/>
        <v>100976</v>
      </c>
      <c r="O61" s="721">
        <f t="shared" si="34"/>
        <v>100104</v>
      </c>
      <c r="P61" s="721">
        <f t="shared" si="34"/>
        <v>103724</v>
      </c>
      <c r="Q61" s="722">
        <f t="shared" ref="Q61:V61" si="35">+Q19+Q40+Q51+Q59</f>
        <v>109256</v>
      </c>
      <c r="R61" s="715">
        <f t="shared" si="35"/>
        <v>112011</v>
      </c>
      <c r="S61" s="544">
        <f t="shared" si="35"/>
        <v>106311</v>
      </c>
      <c r="T61" s="544">
        <f t="shared" si="35"/>
        <v>105307</v>
      </c>
      <c r="U61" s="544">
        <f t="shared" si="35"/>
        <v>102298</v>
      </c>
      <c r="V61" s="544">
        <f t="shared" si="35"/>
        <v>109256</v>
      </c>
      <c r="Y61" s="714"/>
    </row>
    <row r="62" spans="1:25" ht="15" thickTop="1" x14ac:dyDescent="0.35">
      <c r="A62" s="196" t="s">
        <v>222</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4">
        <f>+I62/G61</f>
        <v>1.6511616318739237E-4</v>
      </c>
      <c r="J63" s="43"/>
      <c r="K63" s="546">
        <f>+K62/I61</f>
        <v>1.4194894208801033E-2</v>
      </c>
      <c r="L63" s="546">
        <f>+L62/O61</f>
        <v>1.3485974586430112E-2</v>
      </c>
      <c r="M63" s="546">
        <f>+M62/O61</f>
        <v>1.7421881243506753E-2</v>
      </c>
      <c r="N63" s="546">
        <f>+N62/O61</f>
        <v>8.7109406217533766E-3</v>
      </c>
      <c r="O63" s="344"/>
      <c r="P63" s="546">
        <f>+P62/O61</f>
        <v>3.616239111324223E-2</v>
      </c>
      <c r="Q63" s="546">
        <f t="shared" ref="Q63:V63" si="37">+Q62/$K61</f>
        <v>7.0098629761310108E-2</v>
      </c>
      <c r="R63" s="546">
        <f t="shared" si="37"/>
        <v>9.7082243704639609E-2</v>
      </c>
      <c r="S63" s="546">
        <f t="shared" si="37"/>
        <v>4.1254076925337176E-2</v>
      </c>
      <c r="T63" s="546">
        <f t="shared" si="37"/>
        <v>3.142048404000039E-2</v>
      </c>
      <c r="U63" s="546">
        <f t="shared" si="37"/>
        <v>1.949088629663366E-3</v>
      </c>
      <c r="V63" s="546">
        <f t="shared" si="37"/>
        <v>7.0098629761310108E-2</v>
      </c>
    </row>
    <row r="64" spans="1:25" hidden="1" x14ac:dyDescent="0.35">
      <c r="A64" s="257"/>
      <c r="B64" s="257"/>
      <c r="C64" s="257" t="s">
        <v>162</v>
      </c>
      <c r="D64" s="257"/>
      <c r="E64" s="257"/>
      <c r="F64" s="257"/>
      <c r="G64" s="257"/>
      <c r="H64" s="343"/>
    </row>
    <row r="65" spans="1:22" hidden="1" x14ac:dyDescent="0.35">
      <c r="A65" s="753" t="s">
        <v>163</v>
      </c>
      <c r="B65" s="195"/>
      <c r="C65" s="118">
        <f>+C61-C18</f>
        <v>87649.365145416668</v>
      </c>
      <c r="D65" s="118">
        <f>+D61-D18</f>
        <v>88947.843410416681</v>
      </c>
      <c r="E65" s="118">
        <f>+E61-E18</f>
        <v>92275.566074999995</v>
      </c>
      <c r="F65" s="118">
        <f>+F61-F18</f>
        <v>91326.469849999994</v>
      </c>
      <c r="G65" s="257"/>
      <c r="H65" s="343"/>
    </row>
    <row r="66" spans="1:22" x14ac:dyDescent="0.35">
      <c r="A66" s="257"/>
      <c r="G66" s="194"/>
      <c r="I66" s="194"/>
      <c r="K66" s="194"/>
      <c r="L66" s="194"/>
      <c r="M66" s="194"/>
      <c r="N66" s="194"/>
      <c r="O66" s="194"/>
      <c r="P66" s="194"/>
      <c r="Q66" s="194"/>
      <c r="R66" s="194"/>
      <c r="S66" s="194"/>
      <c r="T66" s="194"/>
      <c r="U66" s="194"/>
      <c r="V66" s="194"/>
    </row>
    <row r="67" spans="1:22" ht="18.5" x14ac:dyDescent="0.35">
      <c r="A67" s="754" t="s">
        <v>420</v>
      </c>
    </row>
    <row r="68" spans="1:22" ht="32" customHeight="1" thickBot="1" x14ac:dyDescent="0.4">
      <c r="A68" s="738"/>
      <c r="Q68" s="738"/>
    </row>
    <row r="69" spans="1:22" x14ac:dyDescent="0.35">
      <c r="A69" s="736" t="s">
        <v>422</v>
      </c>
      <c r="Q69" s="739" t="s">
        <v>421</v>
      </c>
    </row>
    <row r="71" spans="1:22" ht="32" customHeight="1" thickBot="1" x14ac:dyDescent="0.4">
      <c r="A71" s="738"/>
      <c r="Q71" s="738"/>
    </row>
    <row r="72" spans="1:22" x14ac:dyDescent="0.35">
      <c r="A72" s="736" t="s">
        <v>423</v>
      </c>
      <c r="Q72" s="739" t="s">
        <v>421</v>
      </c>
    </row>
    <row r="74" spans="1:22" ht="32" customHeight="1" thickBot="1" x14ac:dyDescent="0.4">
      <c r="A74" s="738"/>
      <c r="Q74" s="738"/>
    </row>
    <row r="75" spans="1:22" x14ac:dyDescent="0.35">
      <c r="A75" s="736" t="s">
        <v>424</v>
      </c>
      <c r="Q75" s="739" t="s">
        <v>421</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58" t="s">
        <v>169</v>
      </c>
    </row>
    <row r="2" spans="1:12" x14ac:dyDescent="0.35">
      <c r="B2" s="954">
        <v>43160</v>
      </c>
      <c r="C2">
        <v>2023</v>
      </c>
      <c r="D2" t="s">
        <v>478</v>
      </c>
    </row>
    <row r="3" spans="1:12" x14ac:dyDescent="0.35">
      <c r="B3" s="954">
        <v>41454</v>
      </c>
      <c r="C3">
        <v>2022</v>
      </c>
      <c r="D3" t="s">
        <v>478</v>
      </c>
    </row>
    <row r="4" spans="1:12" x14ac:dyDescent="0.35">
      <c r="A4" t="s">
        <v>506</v>
      </c>
    </row>
    <row r="6" spans="1:12" x14ac:dyDescent="0.35">
      <c r="B6" s="1683"/>
      <c r="C6" s="1683"/>
      <c r="D6" s="1683"/>
      <c r="F6" s="1683"/>
      <c r="G6" s="1683"/>
      <c r="H6" s="1683"/>
    </row>
    <row r="7" spans="1:12" ht="58" x14ac:dyDescent="0.35">
      <c r="B7" s="948" t="s">
        <v>509</v>
      </c>
      <c r="C7" s="948" t="s">
        <v>510</v>
      </c>
      <c r="D7" s="949" t="s">
        <v>201</v>
      </c>
      <c r="E7" s="1684" t="s">
        <v>508</v>
      </c>
      <c r="F7" s="1684"/>
    </row>
    <row r="8" spans="1:12" x14ac:dyDescent="0.35">
      <c r="B8" s="952">
        <v>0.4</v>
      </c>
      <c r="C8" s="953">
        <v>0.6</v>
      </c>
      <c r="E8" s="963" t="s">
        <v>103</v>
      </c>
      <c r="F8" s="963" t="s">
        <v>104</v>
      </c>
    </row>
    <row r="9" spans="1:12" x14ac:dyDescent="0.35">
      <c r="A9" s="950">
        <v>0.1</v>
      </c>
      <c r="B9" s="954">
        <v>55081</v>
      </c>
      <c r="C9" s="954">
        <v>37639</v>
      </c>
      <c r="D9" s="617">
        <f>(+B9*B$8)+(C9*C$8)</f>
        <v>44615.8</v>
      </c>
      <c r="E9" s="627">
        <f>+D9-B$3</f>
        <v>3161.8000000000029</v>
      </c>
      <c r="F9" s="955">
        <f>+E9/B$3</f>
        <v>7.6272494813528324E-2</v>
      </c>
    </row>
    <row r="10" spans="1:12" x14ac:dyDescent="0.35">
      <c r="A10" s="950">
        <v>0.25</v>
      </c>
      <c r="B10" s="954">
        <v>60846</v>
      </c>
      <c r="C10" s="954">
        <v>42100</v>
      </c>
      <c r="D10" s="617">
        <f>(+B10*B$8)+(C10*C$8)</f>
        <v>49598.400000000001</v>
      </c>
      <c r="E10" s="627">
        <f>+D10-B$3</f>
        <v>8144.4000000000015</v>
      </c>
      <c r="F10" s="955">
        <f>+E10/B$3</f>
        <v>0.19646837458387614</v>
      </c>
    </row>
    <row r="11" spans="1:12" x14ac:dyDescent="0.35">
      <c r="A11" s="951" t="s">
        <v>507</v>
      </c>
      <c r="B11" s="954">
        <v>67178</v>
      </c>
      <c r="C11" s="954">
        <v>47000</v>
      </c>
      <c r="D11" s="617">
        <f>(+B11*B$8)+(C11*C$8)</f>
        <v>55071.199999999997</v>
      </c>
      <c r="E11" s="956">
        <f>+D11-B$3</f>
        <v>13617.199999999997</v>
      </c>
      <c r="F11" s="957">
        <f>+E11/B$3</f>
        <v>0.32848940994837644</v>
      </c>
    </row>
    <row r="12" spans="1:12" x14ac:dyDescent="0.35">
      <c r="A12" s="950">
        <v>0.75</v>
      </c>
      <c r="B12" s="954">
        <v>74329</v>
      </c>
      <c r="C12" s="954">
        <v>53000</v>
      </c>
      <c r="D12" s="617">
        <f>(+B12*B$8)+(C12*C$8)</f>
        <v>61531.600000000006</v>
      </c>
      <c r="E12" s="627">
        <f>+D12-B$3</f>
        <v>20077.600000000006</v>
      </c>
      <c r="F12" s="955">
        <f>+E12/B$3</f>
        <v>0.48433444299705714</v>
      </c>
      <c r="L12" s="959"/>
    </row>
    <row r="13" spans="1:12" x14ac:dyDescent="0.35">
      <c r="A13" s="950">
        <v>0.9</v>
      </c>
      <c r="B13" s="954">
        <v>80840</v>
      </c>
      <c r="C13" s="954">
        <v>58463</v>
      </c>
      <c r="D13" s="617">
        <f>(+B13*B$8)+(C13*C$8)</f>
        <v>67413.799999999988</v>
      </c>
      <c r="E13" s="627">
        <f>+D13-B$3</f>
        <v>25959.799999999988</v>
      </c>
      <c r="F13" s="955">
        <f>+E13/B$3</f>
        <v>0.62623148550200192</v>
      </c>
    </row>
    <row r="17" spans="1:6" x14ac:dyDescent="0.35">
      <c r="A17" t="s">
        <v>511</v>
      </c>
    </row>
    <row r="18" spans="1:6" ht="43.5" x14ac:dyDescent="0.35">
      <c r="B18" s="948" t="s">
        <v>512</v>
      </c>
      <c r="C18" s="948" t="s">
        <v>513</v>
      </c>
      <c r="D18" s="949" t="s">
        <v>201</v>
      </c>
      <c r="E18" s="1684"/>
      <c r="F18" s="1684"/>
    </row>
    <row r="19" spans="1:6" x14ac:dyDescent="0.35">
      <c r="B19" s="952">
        <v>0.6</v>
      </c>
      <c r="C19" s="953">
        <v>0.4</v>
      </c>
      <c r="E19" s="963"/>
      <c r="F19" s="963"/>
    </row>
    <row r="20" spans="1:6" x14ac:dyDescent="0.35">
      <c r="A20" s="950">
        <v>0.1</v>
      </c>
      <c r="B20" s="954">
        <v>41284</v>
      </c>
      <c r="C20" s="954">
        <v>28321</v>
      </c>
      <c r="D20" s="617">
        <f>(+B20*B$8)+(C20*C$8)</f>
        <v>33506.199999999997</v>
      </c>
      <c r="E20" s="627"/>
      <c r="F20" s="955"/>
    </row>
    <row r="21" spans="1:6" x14ac:dyDescent="0.35">
      <c r="A21" s="950">
        <v>0.25</v>
      </c>
      <c r="B21" s="954">
        <v>53302</v>
      </c>
      <c r="C21" s="954">
        <v>35276</v>
      </c>
      <c r="D21" s="617">
        <f>(+B21*B$8)+(C21*C$8)</f>
        <v>42486.400000000001</v>
      </c>
      <c r="E21" s="627"/>
      <c r="F21" s="955"/>
    </row>
    <row r="22" spans="1:6" x14ac:dyDescent="0.35">
      <c r="A22" s="951" t="s">
        <v>507</v>
      </c>
      <c r="B22" s="954">
        <v>66502</v>
      </c>
      <c r="C22" s="954">
        <v>42915</v>
      </c>
      <c r="D22" s="617">
        <f>(+B22*B$8)+(C22*C$8)</f>
        <v>52349.8</v>
      </c>
      <c r="E22" s="956"/>
      <c r="F22" s="957"/>
    </row>
    <row r="23" spans="1:6" x14ac:dyDescent="0.35">
      <c r="A23" s="950">
        <v>0.75</v>
      </c>
      <c r="B23" s="954">
        <v>81702</v>
      </c>
      <c r="C23" s="954">
        <v>53123</v>
      </c>
      <c r="D23" s="617">
        <f>(+B23*B$8)+(C23*C$8)</f>
        <v>64554.600000000006</v>
      </c>
      <c r="E23" s="627"/>
      <c r="F23" s="955"/>
    </row>
    <row r="24" spans="1:6" x14ac:dyDescent="0.35">
      <c r="A24" s="950">
        <v>0.9</v>
      </c>
      <c r="B24" s="954">
        <v>95541</v>
      </c>
      <c r="C24" s="954">
        <v>62417</v>
      </c>
      <c r="D24" s="617">
        <f>(+B24*B$8)+(C24*C$8)</f>
        <v>75666.600000000006</v>
      </c>
      <c r="E24" s="627"/>
      <c r="F24" s="95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182"/>
  <sheetViews>
    <sheetView showGridLines="0" tabSelected="1" topLeftCell="B1" workbookViewId="0">
      <selection activeCell="B1" sqref="B1:Y1"/>
    </sheetView>
  </sheetViews>
  <sheetFormatPr defaultColWidth="9.08984375" defaultRowHeight="14.5" outlineLevelRow="3" outlineLevelCol="2" x14ac:dyDescent="0.35"/>
  <cols>
    <col min="1" max="1" width="4.453125" style="40" hidden="1" customWidth="1"/>
    <col min="2" max="2" width="4.36328125" style="1059" customWidth="1"/>
    <col min="3" max="3" width="10.7265625" style="1035" customWidth="1"/>
    <col min="4" max="4" width="20.7265625" style="1060" customWidth="1"/>
    <col min="5" max="5" width="11.54296875" style="53"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4.54296875" style="36" customWidth="1" collapsed="1"/>
    <col min="17" max="18" width="11.08984375" style="1" customWidth="1"/>
    <col min="19" max="19" width="10.54296875" style="1" customWidth="1"/>
    <col min="20" max="20" width="10" style="1" customWidth="1"/>
    <col min="21" max="21" width="2.6328125" style="333" customWidth="1"/>
    <col min="22" max="22" width="10.90625" style="1" customWidth="1" outlineLevel="1"/>
    <col min="23" max="23" width="10.453125" style="1" customWidth="1" outlineLevel="1"/>
    <col min="24" max="24" width="9" style="4" customWidth="1" outlineLevel="1"/>
    <col min="25" max="25" width="66.26953125" style="1035" customWidth="1"/>
    <col min="26" max="26" width="8.6328125" style="1" customWidth="1"/>
    <col min="27" max="16384" width="9.08984375" style="1"/>
  </cols>
  <sheetData>
    <row r="1" spans="1:25" ht="41.25" customHeight="1" x14ac:dyDescent="0.35">
      <c r="B1" s="1423" t="s">
        <v>79</v>
      </c>
      <c r="C1" s="1423"/>
      <c r="D1" s="1423"/>
      <c r="E1" s="1423"/>
      <c r="F1" s="1423"/>
      <c r="G1" s="1423"/>
      <c r="H1" s="1423"/>
      <c r="I1" s="1423"/>
      <c r="J1" s="1423"/>
      <c r="K1" s="1423"/>
      <c r="L1" s="1423"/>
      <c r="M1" s="1423"/>
      <c r="N1" s="1423"/>
      <c r="O1" s="1423"/>
      <c r="P1" s="1423"/>
      <c r="Q1" s="1423"/>
      <c r="R1" s="1423"/>
      <c r="S1" s="1423"/>
      <c r="T1" s="1423"/>
      <c r="U1" s="1423"/>
      <c r="V1" s="1423"/>
      <c r="W1" s="1423"/>
      <c r="X1" s="1423"/>
      <c r="Y1" s="1423"/>
    </row>
    <row r="2" spans="1:25" ht="23.25" customHeight="1" x14ac:dyDescent="0.35">
      <c r="Q2" s="1428" t="s">
        <v>78</v>
      </c>
      <c r="R2" s="1429"/>
      <c r="S2" s="1429"/>
      <c r="T2" s="1430"/>
      <c r="V2" s="1449" t="str">
        <f>Bud_Yr-1&amp;" Year to Date (YTD)"</f>
        <v>2025 Year to Date (YTD)</v>
      </c>
      <c r="W2" s="1450"/>
      <c r="X2" s="1451"/>
      <c r="Y2" s="1025"/>
    </row>
    <row r="3" spans="1:25" ht="27.65" customHeight="1" x14ac:dyDescent="0.35">
      <c r="P3" s="1467" t="s">
        <v>730</v>
      </c>
      <c r="Q3" s="1454" t="str">
        <f>Bud_Yr&amp;" Budget"</f>
        <v>2026 Budget</v>
      </c>
      <c r="R3" s="1456" t="str">
        <f>Bud_Yr-1&amp;" Budget"</f>
        <v>2025 Budget</v>
      </c>
      <c r="S3" s="1452" t="str">
        <f>Bud_Yr&amp;" Budget vs             "&amp;Bud_Yr-1&amp;" Budget"</f>
        <v>2026 Budget vs             2025 Budget</v>
      </c>
      <c r="T3" s="1453"/>
      <c r="U3" s="334"/>
      <c r="V3" s="1465" t="s">
        <v>880</v>
      </c>
      <c r="W3" s="1466"/>
      <c r="X3" s="1438" t="s">
        <v>77</v>
      </c>
      <c r="Y3" s="1026"/>
    </row>
    <row r="4" spans="1:25" s="2" customFormat="1" x14ac:dyDescent="0.35">
      <c r="A4" s="41"/>
      <c r="B4" s="1059"/>
      <c r="C4" s="1059"/>
      <c r="D4" s="1061"/>
      <c r="E4" s="54"/>
      <c r="F4" s="55"/>
      <c r="G4" s="55"/>
      <c r="H4" s="55"/>
      <c r="I4" s="55"/>
      <c r="J4" s="55"/>
      <c r="K4" s="55"/>
      <c r="L4" s="55"/>
      <c r="M4" s="55"/>
      <c r="N4" s="55"/>
      <c r="P4" s="1467"/>
      <c r="Q4" s="1455"/>
      <c r="R4" s="1457"/>
      <c r="S4" s="45" t="s">
        <v>103</v>
      </c>
      <c r="T4" s="47" t="s">
        <v>104</v>
      </c>
      <c r="U4" s="557"/>
      <c r="V4" s="1295" t="s">
        <v>477</v>
      </c>
      <c r="W4" s="1296" t="s">
        <v>478</v>
      </c>
      <c r="X4" s="1439"/>
      <c r="Y4" s="1027" t="str">
        <f>Bud_Yr&amp;" Budget Notes"</f>
        <v>2026 Budget Notes</v>
      </c>
    </row>
    <row r="5" spans="1:25" s="2" customFormat="1" ht="23.5" x14ac:dyDescent="0.35">
      <c r="A5" s="41"/>
      <c r="B5" s="1058" t="s">
        <v>0</v>
      </c>
      <c r="C5" s="1059"/>
      <c r="D5" s="1061"/>
      <c r="E5" s="54"/>
      <c r="F5" s="55"/>
      <c r="G5" s="55"/>
      <c r="H5" s="55"/>
      <c r="I5" s="55"/>
      <c r="J5" s="55"/>
      <c r="K5" s="55"/>
      <c r="L5" s="55"/>
      <c r="M5" s="55"/>
      <c r="N5" s="55"/>
      <c r="P5" s="55"/>
      <c r="Q5" s="6"/>
      <c r="R5" s="7"/>
      <c r="S5" s="37"/>
      <c r="T5" s="7"/>
      <c r="U5" s="557"/>
      <c r="V5" s="7"/>
      <c r="W5" s="7"/>
      <c r="X5" s="7"/>
      <c r="Y5" s="1026"/>
    </row>
    <row r="6" spans="1:25" s="756" customFormat="1" ht="13.5" customHeight="1" x14ac:dyDescent="0.35">
      <c r="A6" s="755">
        <v>1</v>
      </c>
      <c r="B6" s="1062" t="s">
        <v>1</v>
      </c>
      <c r="C6" s="1028"/>
      <c r="D6" s="1063"/>
      <c r="E6" s="757"/>
      <c r="F6" s="758"/>
      <c r="G6" s="758"/>
      <c r="H6" s="758"/>
      <c r="I6" s="758"/>
      <c r="J6" s="758"/>
      <c r="K6" s="758"/>
      <c r="L6" s="758"/>
      <c r="M6" s="758"/>
      <c r="N6" s="758"/>
      <c r="P6" s="758"/>
      <c r="U6" s="1101"/>
      <c r="X6" s="758"/>
      <c r="Y6" s="1028"/>
    </row>
    <row r="7" spans="1:25" ht="13.5" customHeight="1" x14ac:dyDescent="0.35">
      <c r="A7" s="40">
        <v>2</v>
      </c>
      <c r="C7" s="1064" t="s">
        <v>621</v>
      </c>
      <c r="D7" s="1065"/>
      <c r="E7" s="335"/>
      <c r="F7" s="336"/>
      <c r="G7" s="336"/>
      <c r="H7" s="336"/>
      <c r="I7" s="336"/>
      <c r="J7" s="336"/>
      <c r="K7" s="336"/>
      <c r="L7" s="336"/>
      <c r="M7" s="336"/>
      <c r="N7" s="336"/>
      <c r="O7" s="333"/>
      <c r="P7" s="336"/>
      <c r="Q7" s="340">
        <v>475000</v>
      </c>
      <c r="R7" s="340">
        <f>450000+4500</f>
        <v>454500</v>
      </c>
      <c r="S7" s="338">
        <f t="shared" ref="S7:S10" si="0">+Q7-R7</f>
        <v>20500</v>
      </c>
      <c r="T7" s="339">
        <f t="shared" ref="T7:T11" si="1">IF(R7=0,"NA",(+Q7-R7)/R7)</f>
        <v>4.5104510451045104E-2</v>
      </c>
      <c r="V7" s="337">
        <v>348158.25</v>
      </c>
      <c r="W7" s="340">
        <v>318912</v>
      </c>
      <c r="X7" s="339">
        <f t="shared" ref="X7:X11" si="2">IF(W7=0,"NA",(+V7-W7)/W7)</f>
        <v>9.1706332781456956E-2</v>
      </c>
      <c r="Y7" s="1029"/>
    </row>
    <row r="8" spans="1:25" ht="13.5" customHeight="1" x14ac:dyDescent="0.35">
      <c r="A8" s="40">
        <v>4</v>
      </c>
      <c r="C8" s="1024" t="s">
        <v>2</v>
      </c>
      <c r="D8" s="1066"/>
      <c r="E8" s="213"/>
      <c r="F8" s="214"/>
      <c r="G8" s="214"/>
      <c r="H8" s="214"/>
      <c r="I8" s="214"/>
      <c r="J8" s="214"/>
      <c r="K8" s="214"/>
      <c r="L8" s="214"/>
      <c r="M8" s="214"/>
      <c r="N8" s="214"/>
      <c r="O8" s="204"/>
      <c r="P8" s="214"/>
      <c r="Q8" s="201">
        <v>4000</v>
      </c>
      <c r="R8" s="201">
        <v>4000</v>
      </c>
      <c r="S8" s="202">
        <f t="shared" si="0"/>
        <v>0</v>
      </c>
      <c r="T8" s="203">
        <f t="shared" si="1"/>
        <v>0</v>
      </c>
      <c r="V8" s="201">
        <v>3376</v>
      </c>
      <c r="W8" s="201">
        <v>4000</v>
      </c>
      <c r="X8" s="203">
        <f t="shared" si="2"/>
        <v>-0.156</v>
      </c>
      <c r="Y8" s="1030"/>
    </row>
    <row r="9" spans="1:25" ht="13.5" customHeight="1" x14ac:dyDescent="0.35">
      <c r="A9" s="40">
        <v>6</v>
      </c>
      <c r="C9" s="1024" t="s">
        <v>3</v>
      </c>
      <c r="D9" s="1066"/>
      <c r="E9" s="213"/>
      <c r="F9" s="214"/>
      <c r="G9" s="214"/>
      <c r="H9" s="214"/>
      <c r="I9" s="214"/>
      <c r="J9" s="214"/>
      <c r="K9" s="214"/>
      <c r="L9" s="214"/>
      <c r="M9" s="214"/>
      <c r="N9" s="214"/>
      <c r="O9" s="204"/>
      <c r="P9" s="214"/>
      <c r="Q9" s="201">
        <v>6000</v>
      </c>
      <c r="R9" s="201">
        <v>6000</v>
      </c>
      <c r="S9" s="202">
        <f t="shared" si="0"/>
        <v>0</v>
      </c>
      <c r="T9" s="203">
        <f t="shared" si="1"/>
        <v>0</v>
      </c>
      <c r="V9" s="201">
        <v>0</v>
      </c>
      <c r="W9" s="201">
        <v>0</v>
      </c>
      <c r="X9" s="203" t="str">
        <f t="shared" si="2"/>
        <v>NA</v>
      </c>
      <c r="Y9" s="1030"/>
    </row>
    <row r="10" spans="1:25" ht="13.5" customHeight="1" x14ac:dyDescent="0.35">
      <c r="A10" s="40">
        <v>7</v>
      </c>
      <c r="C10" s="1024" t="s">
        <v>4</v>
      </c>
      <c r="D10" s="1066"/>
      <c r="E10" s="213"/>
      <c r="F10" s="214"/>
      <c r="G10" s="214"/>
      <c r="H10" s="214"/>
      <c r="I10" s="214"/>
      <c r="J10" s="214"/>
      <c r="K10" s="214"/>
      <c r="L10" s="214"/>
      <c r="M10" s="214"/>
      <c r="N10" s="214"/>
      <c r="O10" s="204"/>
      <c r="P10" s="214"/>
      <c r="Q10" s="201">
        <v>3000</v>
      </c>
      <c r="R10" s="201">
        <v>2500</v>
      </c>
      <c r="S10" s="202">
        <f t="shared" si="0"/>
        <v>500</v>
      </c>
      <c r="T10" s="203">
        <f t="shared" si="1"/>
        <v>0.2</v>
      </c>
      <c r="V10" s="201">
        <v>2830</v>
      </c>
      <c r="W10" s="201">
        <v>2500</v>
      </c>
      <c r="X10" s="203">
        <f t="shared" si="2"/>
        <v>0.13200000000000001</v>
      </c>
      <c r="Y10" s="1030"/>
    </row>
    <row r="11" spans="1:25" ht="13.5" customHeight="1" x14ac:dyDescent="0.35">
      <c r="A11" s="40">
        <v>8</v>
      </c>
      <c r="B11" s="1067" t="s">
        <v>5</v>
      </c>
      <c r="C11" s="1067"/>
      <c r="D11" s="1067"/>
      <c r="E11" s="56"/>
      <c r="F11" s="56"/>
      <c r="G11" s="56"/>
      <c r="H11" s="56"/>
      <c r="I11" s="56"/>
      <c r="J11" s="56"/>
      <c r="K11" s="56"/>
      <c r="L11" s="56"/>
      <c r="M11" s="56"/>
      <c r="N11" s="56"/>
      <c r="O11" s="8"/>
      <c r="P11" s="56"/>
      <c r="Q11" s="8">
        <f>SUM(Q7:Q10)</f>
        <v>488000</v>
      </c>
      <c r="R11" s="8">
        <f>SUM(R7:R10)</f>
        <v>467000</v>
      </c>
      <c r="S11" s="8">
        <f>SUM(S7:S10)</f>
        <v>21000</v>
      </c>
      <c r="T11" s="9">
        <f t="shared" si="1"/>
        <v>4.4967880085653104E-2</v>
      </c>
      <c r="V11" s="8">
        <f>SUM(V7:V10)</f>
        <v>354364.25</v>
      </c>
      <c r="W11" s="8">
        <f>SUM(W7:W10)</f>
        <v>325412</v>
      </c>
      <c r="X11" s="9">
        <f t="shared" si="2"/>
        <v>8.8971058227723623E-2</v>
      </c>
      <c r="Y11" s="1031"/>
    </row>
    <row r="12" spans="1:25" ht="13.5" customHeight="1" x14ac:dyDescent="0.35">
      <c r="A12" s="40">
        <v>16</v>
      </c>
      <c r="B12" s="1100"/>
      <c r="C12" s="1068" t="s">
        <v>715</v>
      </c>
      <c r="D12" s="1069"/>
      <c r="E12" s="216"/>
      <c r="F12" s="217"/>
      <c r="G12" s="217"/>
      <c r="H12" s="217"/>
      <c r="I12" s="217"/>
      <c r="J12" s="217"/>
      <c r="K12" s="217"/>
      <c r="L12" s="217"/>
      <c r="M12" s="217"/>
      <c r="N12" s="217"/>
      <c r="O12" s="208"/>
      <c r="P12" s="217"/>
      <c r="Q12" s="205">
        <v>20000</v>
      </c>
      <c r="R12" s="205">
        <v>10000</v>
      </c>
      <c r="S12" s="206">
        <f>+Q12-R12</f>
        <v>10000</v>
      </c>
      <c r="T12" s="207">
        <f>IF(R12=0,"NA",(+Q12-R12)/R12)</f>
        <v>1</v>
      </c>
      <c r="V12" s="205">
        <v>30304.639999999999</v>
      </c>
      <c r="W12" s="205">
        <v>6666.64</v>
      </c>
      <c r="X12" s="207">
        <f>IF(W12=0,"NA",(+V12-W12)/W12)</f>
        <v>3.5457141828567313</v>
      </c>
      <c r="Y12" s="1032" t="s">
        <v>716</v>
      </c>
    </row>
    <row r="13" spans="1:25" ht="17" customHeight="1" x14ac:dyDescent="0.35">
      <c r="A13" s="40">
        <v>17</v>
      </c>
      <c r="B13" s="1067" t="s">
        <v>7</v>
      </c>
      <c r="C13" s="1067"/>
      <c r="D13" s="1067"/>
      <c r="E13" s="56"/>
      <c r="F13" s="56"/>
      <c r="G13" s="56"/>
      <c r="H13" s="56"/>
      <c r="I13" s="56"/>
      <c r="J13" s="56"/>
      <c r="K13" s="56"/>
      <c r="L13" s="56"/>
      <c r="M13" s="56"/>
      <c r="N13" s="56"/>
      <c r="O13" s="8"/>
      <c r="P13" s="56"/>
      <c r="Q13" s="8">
        <f>+Q11+Q12</f>
        <v>508000</v>
      </c>
      <c r="R13" s="8">
        <f>+R11+R12</f>
        <v>477000</v>
      </c>
      <c r="S13" s="8">
        <f>+S11+S12</f>
        <v>31000</v>
      </c>
      <c r="T13" s="9">
        <f>IF(R13=0,"NA",(+Q13-R13)/R13)</f>
        <v>6.4989517819706494E-2</v>
      </c>
      <c r="V13" s="8">
        <f>+V11+V12</f>
        <v>384668.89</v>
      </c>
      <c r="W13" s="8">
        <f>+W11+W12</f>
        <v>332078.64</v>
      </c>
      <c r="X13" s="9">
        <f>IF(W13=0,"NA",(+V13-W13)/W13)</f>
        <v>0.15836685551350124</v>
      </c>
      <c r="Y13" s="1033"/>
    </row>
    <row r="14" spans="1:25" s="760" customFormat="1" ht="23.5" customHeight="1" x14ac:dyDescent="0.55000000000000004">
      <c r="A14" s="759">
        <v>19</v>
      </c>
      <c r="B14" s="1070" t="s">
        <v>8</v>
      </c>
      <c r="C14" s="1034"/>
      <c r="D14" s="1071"/>
      <c r="E14" s="761"/>
      <c r="F14" s="762"/>
      <c r="G14" s="762"/>
      <c r="H14" s="762"/>
      <c r="I14" s="762"/>
      <c r="J14" s="762"/>
      <c r="K14" s="762"/>
      <c r="L14" s="762"/>
      <c r="M14" s="762"/>
      <c r="N14" s="762"/>
      <c r="P14" s="762"/>
      <c r="T14" s="1685"/>
      <c r="U14" s="1102"/>
      <c r="X14" s="762"/>
      <c r="Y14" s="1034"/>
    </row>
    <row r="15" spans="1:25" ht="17" customHeight="1" x14ac:dyDescent="0.35">
      <c r="B15" s="1072" t="s">
        <v>84</v>
      </c>
      <c r="T15" s="36"/>
      <c r="X15" s="36"/>
    </row>
    <row r="16" spans="1:25" ht="13.5" customHeight="1" x14ac:dyDescent="0.35">
      <c r="B16" s="1072"/>
      <c r="C16" s="1073" t="s">
        <v>247</v>
      </c>
      <c r="D16" s="1074"/>
      <c r="E16" s="210"/>
      <c r="F16" s="211"/>
      <c r="G16" s="211"/>
      <c r="H16" s="211"/>
      <c r="I16" s="211"/>
      <c r="J16" s="211"/>
      <c r="K16" s="211"/>
      <c r="L16" s="211"/>
      <c r="M16" s="211"/>
      <c r="N16" s="211"/>
      <c r="O16" s="200"/>
      <c r="P16" s="211" t="s">
        <v>754</v>
      </c>
      <c r="Q16" s="220">
        <v>10000</v>
      </c>
      <c r="R16" s="220">
        <v>10000</v>
      </c>
      <c r="S16" s="198">
        <f t="shared" ref="S16:S26" si="3">+Q16-R16</f>
        <v>0</v>
      </c>
      <c r="T16" s="199">
        <f t="shared" ref="T16:T26" si="4">IF(R16=0,"NA",(+Q16-R16)/R16)</f>
        <v>0</v>
      </c>
      <c r="V16" s="197">
        <v>5000</v>
      </c>
      <c r="W16" s="220">
        <v>5000</v>
      </c>
      <c r="X16" s="199">
        <f t="shared" ref="X16:X26" si="5">IF(W16=0,"NA",(+V16-W16)/W16)</f>
        <v>0</v>
      </c>
      <c r="Y16" s="1036"/>
    </row>
    <row r="17" spans="1:26" ht="13.5" customHeight="1" x14ac:dyDescent="0.35">
      <c r="B17" s="1072"/>
      <c r="C17" s="1024" t="s">
        <v>374</v>
      </c>
      <c r="D17" s="1066"/>
      <c r="E17" s="213"/>
      <c r="F17" s="214"/>
      <c r="G17" s="214"/>
      <c r="H17" s="214"/>
      <c r="I17" s="214"/>
      <c r="J17" s="214"/>
      <c r="K17" s="214"/>
      <c r="L17" s="214"/>
      <c r="M17" s="214"/>
      <c r="N17" s="214"/>
      <c r="O17" s="204"/>
      <c r="P17" s="214" t="s">
        <v>754</v>
      </c>
      <c r="Q17" s="218">
        <v>500</v>
      </c>
      <c r="R17" s="218">
        <v>500</v>
      </c>
      <c r="S17" s="198">
        <f t="shared" si="3"/>
        <v>0</v>
      </c>
      <c r="T17" s="199">
        <f t="shared" si="4"/>
        <v>0</v>
      </c>
      <c r="V17" s="197">
        <v>250</v>
      </c>
      <c r="W17" s="218">
        <v>250</v>
      </c>
      <c r="X17" s="199">
        <f t="shared" si="5"/>
        <v>0</v>
      </c>
      <c r="Y17" s="1036"/>
    </row>
    <row r="18" spans="1:26" ht="13.5" customHeight="1" x14ac:dyDescent="0.35">
      <c r="B18" s="1072"/>
      <c r="C18" s="1024" t="s">
        <v>255</v>
      </c>
      <c r="D18" s="1066"/>
      <c r="E18" s="213"/>
      <c r="F18" s="214"/>
      <c r="G18" s="214"/>
      <c r="H18" s="214"/>
      <c r="I18" s="214"/>
      <c r="J18" s="214"/>
      <c r="K18" s="214"/>
      <c r="L18" s="214"/>
      <c r="M18" s="214"/>
      <c r="N18" s="214"/>
      <c r="O18" s="204"/>
      <c r="P18" s="214" t="s">
        <v>754</v>
      </c>
      <c r="Q18" s="218">
        <v>1500</v>
      </c>
      <c r="R18" s="218">
        <v>1500</v>
      </c>
      <c r="S18" s="198">
        <f t="shared" si="3"/>
        <v>0</v>
      </c>
      <c r="T18" s="199">
        <f t="shared" si="4"/>
        <v>0</v>
      </c>
      <c r="V18" s="197">
        <v>750</v>
      </c>
      <c r="W18" s="197">
        <v>750</v>
      </c>
      <c r="X18" s="199">
        <f t="shared" si="5"/>
        <v>0</v>
      </c>
      <c r="Y18" s="1036"/>
    </row>
    <row r="19" spans="1:26" ht="13.5" customHeight="1" x14ac:dyDescent="0.35">
      <c r="B19" s="1072"/>
      <c r="C19" s="1024" t="s">
        <v>515</v>
      </c>
      <c r="D19" s="1066"/>
      <c r="E19" s="213"/>
      <c r="F19" s="214"/>
      <c r="G19" s="214"/>
      <c r="H19" s="214"/>
      <c r="I19" s="214"/>
      <c r="J19" s="214"/>
      <c r="K19" s="214"/>
      <c r="L19" s="214"/>
      <c r="M19" s="214"/>
      <c r="N19" s="214"/>
      <c r="O19" s="204"/>
      <c r="P19" s="214" t="s">
        <v>754</v>
      </c>
      <c r="Q19" s="218">
        <v>750</v>
      </c>
      <c r="R19" s="218">
        <v>750</v>
      </c>
      <c r="S19" s="198">
        <f t="shared" si="3"/>
        <v>0</v>
      </c>
      <c r="T19" s="199">
        <f t="shared" si="4"/>
        <v>0</v>
      </c>
      <c r="V19" s="197">
        <v>375</v>
      </c>
      <c r="W19" s="197">
        <v>375</v>
      </c>
      <c r="X19" s="199">
        <f t="shared" si="5"/>
        <v>0</v>
      </c>
      <c r="Y19" s="1036"/>
    </row>
    <row r="20" spans="1:26" ht="13.5" customHeight="1" x14ac:dyDescent="0.35">
      <c r="B20" s="1072"/>
      <c r="C20" s="1024" t="s">
        <v>514</v>
      </c>
      <c r="D20" s="1066"/>
      <c r="E20" s="213"/>
      <c r="F20" s="214"/>
      <c r="G20" s="214"/>
      <c r="H20" s="214"/>
      <c r="I20" s="214"/>
      <c r="J20" s="214"/>
      <c r="K20" s="214"/>
      <c r="L20" s="214"/>
      <c r="M20" s="214"/>
      <c r="N20" s="214"/>
      <c r="O20" s="204"/>
      <c r="P20" s="214" t="s">
        <v>754</v>
      </c>
      <c r="Q20" s="218">
        <v>500</v>
      </c>
      <c r="R20" s="218">
        <v>500</v>
      </c>
      <c r="S20" s="198">
        <f t="shared" si="3"/>
        <v>0</v>
      </c>
      <c r="T20" s="199">
        <f t="shared" si="4"/>
        <v>0</v>
      </c>
      <c r="V20" s="197">
        <v>250</v>
      </c>
      <c r="W20" s="197">
        <v>250</v>
      </c>
      <c r="X20" s="199">
        <f t="shared" si="5"/>
        <v>0</v>
      </c>
      <c r="Y20" s="1036"/>
    </row>
    <row r="21" spans="1:26" ht="13.5" customHeight="1" x14ac:dyDescent="0.35">
      <c r="B21" s="1072"/>
      <c r="C21" s="1024" t="s">
        <v>226</v>
      </c>
      <c r="D21" s="1066"/>
      <c r="E21" s="213"/>
      <c r="F21" s="214"/>
      <c r="G21" s="214"/>
      <c r="H21" s="214"/>
      <c r="I21" s="214"/>
      <c r="J21" s="214"/>
      <c r="K21" s="214"/>
      <c r="L21" s="214"/>
      <c r="M21" s="214"/>
      <c r="N21" s="214"/>
      <c r="O21" s="204"/>
      <c r="P21" s="214" t="s">
        <v>754</v>
      </c>
      <c r="Q21" s="218">
        <v>500</v>
      </c>
      <c r="R21" s="218">
        <v>500</v>
      </c>
      <c r="S21" s="198">
        <f t="shared" ref="S21" si="6">+Q21-R21</f>
        <v>0</v>
      </c>
      <c r="T21" s="199">
        <f t="shared" ref="T21" si="7">IF(R21=0,"NA",(+Q21-R21)/R21)</f>
        <v>0</v>
      </c>
      <c r="V21" s="197">
        <v>250</v>
      </c>
      <c r="W21" s="197">
        <v>250</v>
      </c>
      <c r="X21" s="199">
        <f t="shared" ref="X21" si="8">IF(W21=0,"NA",(+V21-W21)/W21)</f>
        <v>0</v>
      </c>
      <c r="Y21" s="1036" t="s">
        <v>834</v>
      </c>
    </row>
    <row r="22" spans="1:26" ht="13.5" customHeight="1" x14ac:dyDescent="0.35">
      <c r="B22" s="1072"/>
      <c r="C22" s="1024" t="s">
        <v>720</v>
      </c>
      <c r="D22" s="1066"/>
      <c r="E22" s="213"/>
      <c r="F22" s="214"/>
      <c r="G22" s="214"/>
      <c r="H22" s="214"/>
      <c r="I22" s="214"/>
      <c r="J22" s="214"/>
      <c r="K22" s="214"/>
      <c r="L22" s="214"/>
      <c r="M22" s="214"/>
      <c r="N22" s="214"/>
      <c r="O22" s="204"/>
      <c r="P22" s="214" t="s">
        <v>754</v>
      </c>
      <c r="Q22" s="218">
        <v>500</v>
      </c>
      <c r="R22" s="218">
        <v>500</v>
      </c>
      <c r="S22" s="198">
        <f t="shared" ref="S22" si="9">+Q22-R22</f>
        <v>0</v>
      </c>
      <c r="T22" s="199">
        <f t="shared" ref="T22" si="10">IF(R22=0,"NA",(+Q22-R22)/R22)</f>
        <v>0</v>
      </c>
      <c r="V22" s="197">
        <v>250</v>
      </c>
      <c r="W22" s="197">
        <v>250</v>
      </c>
      <c r="X22" s="199">
        <f t="shared" ref="X22" si="11">IF(W22=0,"NA",(+V22-W22)/W22)</f>
        <v>0</v>
      </c>
      <c r="Y22" s="1036"/>
    </row>
    <row r="23" spans="1:26" ht="28" customHeight="1" x14ac:dyDescent="0.35">
      <c r="B23" s="1072"/>
      <c r="C23" s="1024" t="s">
        <v>622</v>
      </c>
      <c r="D23" s="1066"/>
      <c r="E23" s="213"/>
      <c r="F23" s="214"/>
      <c r="G23" s="214"/>
      <c r="H23" s="214"/>
      <c r="I23" s="214"/>
      <c r="J23" s="214"/>
      <c r="K23" s="214"/>
      <c r="L23" s="214"/>
      <c r="M23" s="214"/>
      <c r="N23" s="214"/>
      <c r="O23" s="204"/>
      <c r="P23" s="214" t="s">
        <v>754</v>
      </c>
      <c r="Q23" s="218">
        <v>1000</v>
      </c>
      <c r="R23" s="218">
        <v>1000</v>
      </c>
      <c r="S23" s="198">
        <f t="shared" ref="S23" si="12">+Q23-R23</f>
        <v>0</v>
      </c>
      <c r="T23" s="199">
        <f t="shared" ref="T23" si="13">IF(R23=0,"NA",(+Q23-R23)/R23)</f>
        <v>0</v>
      </c>
      <c r="V23" s="197">
        <v>500</v>
      </c>
      <c r="W23" s="197">
        <v>500</v>
      </c>
      <c r="X23" s="199">
        <f t="shared" ref="X23" si="14">IF(W23=0,"NA",(+V23-W23)/W23)</f>
        <v>0</v>
      </c>
      <c r="Y23" s="1177" t="s">
        <v>689</v>
      </c>
    </row>
    <row r="24" spans="1:26" ht="13.5" customHeight="1" x14ac:dyDescent="0.35">
      <c r="B24" s="1072"/>
      <c r="C24" s="1024" t="s">
        <v>252</v>
      </c>
      <c r="D24" s="1066"/>
      <c r="E24" s="213"/>
      <c r="F24" s="214"/>
      <c r="G24" s="214"/>
      <c r="H24" s="214"/>
      <c r="I24" s="214"/>
      <c r="J24" s="214"/>
      <c r="K24" s="214"/>
      <c r="L24" s="214"/>
      <c r="M24" s="214"/>
      <c r="N24" s="214"/>
      <c r="O24" s="204"/>
      <c r="P24" s="214" t="s">
        <v>754</v>
      </c>
      <c r="Q24" s="218">
        <v>1000</v>
      </c>
      <c r="R24" s="218">
        <v>1000</v>
      </c>
      <c r="S24" s="198">
        <f t="shared" si="3"/>
        <v>0</v>
      </c>
      <c r="T24" s="199">
        <f t="shared" si="4"/>
        <v>0</v>
      </c>
      <c r="V24" s="197">
        <v>500</v>
      </c>
      <c r="W24" s="197">
        <v>500</v>
      </c>
      <c r="X24" s="199">
        <f t="shared" si="5"/>
        <v>0</v>
      </c>
      <c r="Y24" s="1036"/>
    </row>
    <row r="25" spans="1:26" ht="13.5" customHeight="1" x14ac:dyDescent="0.35">
      <c r="B25" s="1072"/>
      <c r="C25" s="1024" t="s">
        <v>373</v>
      </c>
      <c r="D25" s="1066"/>
      <c r="E25" s="213"/>
      <c r="F25" s="214"/>
      <c r="G25" s="214"/>
      <c r="H25" s="214"/>
      <c r="I25" s="214"/>
      <c r="J25" s="214"/>
      <c r="K25" s="214"/>
      <c r="L25" s="214"/>
      <c r="M25" s="214"/>
      <c r="N25" s="214"/>
      <c r="O25" s="204"/>
      <c r="P25" s="214" t="s">
        <v>754</v>
      </c>
      <c r="Q25" s="218">
        <v>1000</v>
      </c>
      <c r="R25" s="218">
        <v>1000</v>
      </c>
      <c r="S25" s="198">
        <f t="shared" si="3"/>
        <v>0</v>
      </c>
      <c r="T25" s="199">
        <f t="shared" si="4"/>
        <v>0</v>
      </c>
      <c r="V25" s="197">
        <v>500</v>
      </c>
      <c r="W25" s="197">
        <v>500</v>
      </c>
      <c r="X25" s="199">
        <f t="shared" si="5"/>
        <v>0</v>
      </c>
      <c r="Y25" s="1036"/>
    </row>
    <row r="26" spans="1:26" ht="13.5" customHeight="1" x14ac:dyDescent="0.35">
      <c r="B26" s="1072"/>
      <c r="C26" s="1024" t="s">
        <v>254</v>
      </c>
      <c r="D26" s="1066"/>
      <c r="E26" s="213"/>
      <c r="F26" s="214"/>
      <c r="G26" s="214"/>
      <c r="H26" s="214"/>
      <c r="I26" s="214"/>
      <c r="J26" s="214"/>
      <c r="K26" s="214"/>
      <c r="L26" s="214"/>
      <c r="M26" s="214"/>
      <c r="N26" s="214"/>
      <c r="O26" s="204"/>
      <c r="P26" s="214" t="s">
        <v>754</v>
      </c>
      <c r="Q26" s="218">
        <v>1000</v>
      </c>
      <c r="R26" s="218">
        <v>1000</v>
      </c>
      <c r="S26" s="198">
        <f t="shared" si="3"/>
        <v>0</v>
      </c>
      <c r="T26" s="199">
        <f t="shared" si="4"/>
        <v>0</v>
      </c>
      <c r="V26" s="197">
        <v>500</v>
      </c>
      <c r="W26" s="197">
        <v>500</v>
      </c>
      <c r="X26" s="199">
        <f t="shared" si="5"/>
        <v>0</v>
      </c>
      <c r="Y26" s="1036"/>
    </row>
    <row r="27" spans="1:26" s="2" customFormat="1" ht="24.5" customHeight="1" x14ac:dyDescent="0.35">
      <c r="A27" s="40">
        <v>26</v>
      </c>
      <c r="B27" s="1075">
        <v>0.08</v>
      </c>
      <c r="C27" s="1464" t="str">
        <f>IF(Q27=0,"",ROUND((Q27/Q13),3)*100)&amp;"% Benevolence Budget                    "&amp;IF(V27=0,"",ROUND((V27/V13),3)*100)&amp;"% Actual YTD"</f>
        <v>3.6% Benevolence Budget                    2.4% Actual YTD</v>
      </c>
      <c r="D27" s="1464"/>
      <c r="E27" s="57"/>
      <c r="F27" s="58"/>
      <c r="G27" s="58"/>
      <c r="H27" s="58"/>
      <c r="I27" s="58"/>
      <c r="J27" s="58"/>
      <c r="K27" s="58"/>
      <c r="L27" s="58"/>
      <c r="M27" s="58"/>
      <c r="N27" s="58"/>
      <c r="O27" s="10"/>
      <c r="P27" s="58"/>
      <c r="Q27" s="10">
        <f>SUM(Q16:Q26)</f>
        <v>18250</v>
      </c>
      <c r="R27" s="10">
        <f>SUM(R16:R26)</f>
        <v>18250</v>
      </c>
      <c r="S27" s="10">
        <f>+Q27-R27</f>
        <v>0</v>
      </c>
      <c r="T27" s="12">
        <f>IF(R27=0,"NA",(+Q27-R27)/R27)</f>
        <v>0</v>
      </c>
      <c r="U27" s="333"/>
      <c r="V27" s="484">
        <f>SUM(V16:V26)</f>
        <v>9125</v>
      </c>
      <c r="W27" s="484">
        <f>SUM(W16:W26)</f>
        <v>9125</v>
      </c>
      <c r="X27" s="12">
        <f>IF(W27=0,"NA",(+V27-W27)/W27)</f>
        <v>0</v>
      </c>
      <c r="Y27" s="1037" t="s">
        <v>625</v>
      </c>
      <c r="Z27" s="2" t="s">
        <v>284</v>
      </c>
    </row>
    <row r="28" spans="1:26" s="2" customFormat="1" ht="17" customHeight="1" x14ac:dyDescent="0.35">
      <c r="A28" s="40">
        <v>28</v>
      </c>
      <c r="B28" s="1076" t="s">
        <v>55</v>
      </c>
      <c r="C28" s="1077"/>
      <c r="D28" s="1061"/>
      <c r="E28" s="54"/>
      <c r="F28" s="54"/>
      <c r="G28" s="54"/>
      <c r="H28" s="54"/>
      <c r="I28" s="54"/>
      <c r="J28" s="54"/>
      <c r="K28" s="54"/>
      <c r="L28" s="54"/>
      <c r="M28" s="54"/>
      <c r="N28" s="54"/>
      <c r="O28" s="13"/>
      <c r="P28" s="54"/>
      <c r="Q28" s="483"/>
      <c r="R28" s="747"/>
      <c r="S28" s="13"/>
      <c r="T28" s="16"/>
      <c r="U28" s="333"/>
      <c r="V28" s="13"/>
      <c r="W28" s="13"/>
      <c r="X28" s="16"/>
      <c r="Y28" s="1038"/>
    </row>
    <row r="29" spans="1:26" s="756" customFormat="1" ht="13.5" customHeight="1" x14ac:dyDescent="0.35">
      <c r="A29" s="755">
        <v>29</v>
      </c>
      <c r="B29" s="1062" t="s">
        <v>9</v>
      </c>
      <c r="C29" s="1028"/>
      <c r="D29" s="1063"/>
      <c r="E29" s="757"/>
      <c r="F29" s="758"/>
      <c r="G29" s="758"/>
      <c r="H29" s="758"/>
      <c r="I29" s="758"/>
      <c r="J29" s="758"/>
      <c r="K29" s="758"/>
      <c r="L29" s="758"/>
      <c r="M29" s="758"/>
      <c r="N29" s="758"/>
      <c r="P29" s="758"/>
      <c r="T29" s="758"/>
      <c r="U29" s="1101"/>
      <c r="X29" s="758"/>
      <c r="Y29" s="1028"/>
    </row>
    <row r="30" spans="1:26" ht="13.5" customHeight="1" x14ac:dyDescent="0.35">
      <c r="A30" s="40">
        <v>30</v>
      </c>
      <c r="C30" s="1064" t="s">
        <v>76</v>
      </c>
      <c r="D30" s="1065"/>
      <c r="E30" s="335"/>
      <c r="F30" s="336"/>
      <c r="G30" s="336"/>
      <c r="H30" s="336"/>
      <c r="I30" s="336"/>
      <c r="J30" s="336"/>
      <c r="K30" s="336"/>
      <c r="L30" s="336"/>
      <c r="M30" s="336"/>
      <c r="N30" s="336"/>
      <c r="O30" s="333"/>
      <c r="P30" s="336" t="s">
        <v>731</v>
      </c>
      <c r="Q30" s="337">
        <v>1250</v>
      </c>
      <c r="R30" s="337">
        <v>1000</v>
      </c>
      <c r="S30" s="338">
        <f t="shared" ref="S30:S34" si="15">+Q30-R30</f>
        <v>250</v>
      </c>
      <c r="T30" s="339">
        <f t="shared" ref="T30:T35" si="16">IF(R30=0,"NA",(+Q30-R30)/R30)</f>
        <v>0.25</v>
      </c>
      <c r="V30" s="337">
        <v>1183.1099999999999</v>
      </c>
      <c r="W30" s="337">
        <v>555.6</v>
      </c>
      <c r="X30" s="339">
        <f t="shared" ref="X30:X35" si="17">IF(W30=0,"NA",(+V30-W30)/W30)</f>
        <v>1.1294276457883368</v>
      </c>
      <c r="Y30" s="1042" t="s">
        <v>848</v>
      </c>
    </row>
    <row r="31" spans="1:26" ht="13.5" customHeight="1" x14ac:dyDescent="0.35">
      <c r="A31" s="40">
        <v>31</v>
      </c>
      <c r="C31" s="1068" t="s">
        <v>10</v>
      </c>
      <c r="D31" s="1069"/>
      <c r="E31" s="216"/>
      <c r="F31" s="217"/>
      <c r="G31" s="217"/>
      <c r="H31" s="217"/>
      <c r="I31" s="217"/>
      <c r="J31" s="217"/>
      <c r="K31" s="217"/>
      <c r="L31" s="217"/>
      <c r="M31" s="217"/>
      <c r="N31" s="217"/>
      <c r="O31" s="208"/>
      <c r="P31" s="217" t="s">
        <v>733</v>
      </c>
      <c r="Q31" s="205">
        <v>750</v>
      </c>
      <c r="R31" s="205">
        <v>500</v>
      </c>
      <c r="S31" s="206">
        <f t="shared" si="15"/>
        <v>250</v>
      </c>
      <c r="T31" s="207">
        <f t="shared" si="16"/>
        <v>0.5</v>
      </c>
      <c r="V31" s="205">
        <v>81.66</v>
      </c>
      <c r="W31" s="205">
        <v>500</v>
      </c>
      <c r="X31" s="207">
        <f t="shared" si="17"/>
        <v>-0.83668000000000009</v>
      </c>
      <c r="Y31" s="1039" t="s">
        <v>847</v>
      </c>
    </row>
    <row r="32" spans="1:26" ht="13.5" customHeight="1" x14ac:dyDescent="0.35">
      <c r="A32" s="40">
        <v>33</v>
      </c>
      <c r="C32" s="1068" t="s">
        <v>11</v>
      </c>
      <c r="D32" s="1069"/>
      <c r="E32" s="216"/>
      <c r="F32" s="217"/>
      <c r="G32" s="217"/>
      <c r="H32" s="217"/>
      <c r="I32" s="217"/>
      <c r="J32" s="217"/>
      <c r="K32" s="217"/>
      <c r="L32" s="217"/>
      <c r="M32" s="217"/>
      <c r="N32" s="217"/>
      <c r="O32" s="208"/>
      <c r="P32" s="217" t="s">
        <v>732</v>
      </c>
      <c r="Q32" s="205">
        <v>300</v>
      </c>
      <c r="R32" s="205">
        <v>300</v>
      </c>
      <c r="S32" s="206">
        <f t="shared" si="15"/>
        <v>0</v>
      </c>
      <c r="T32" s="207">
        <f t="shared" si="16"/>
        <v>0</v>
      </c>
      <c r="V32" s="205">
        <v>0</v>
      </c>
      <c r="W32" s="205">
        <v>0</v>
      </c>
      <c r="X32" s="207" t="str">
        <f t="shared" si="17"/>
        <v>NA</v>
      </c>
      <c r="Y32" s="1039"/>
    </row>
    <row r="33" spans="1:25" ht="13.5" customHeight="1" x14ac:dyDescent="0.35">
      <c r="A33" s="40">
        <v>34</v>
      </c>
      <c r="C33" s="1068" t="s">
        <v>220</v>
      </c>
      <c r="D33" s="1069"/>
      <c r="E33" s="216"/>
      <c r="F33" s="217"/>
      <c r="G33" s="217"/>
      <c r="H33" s="217"/>
      <c r="I33" s="217"/>
      <c r="J33" s="217"/>
      <c r="K33" s="217"/>
      <c r="L33" s="217"/>
      <c r="M33" s="217"/>
      <c r="N33" s="217"/>
      <c r="O33" s="208"/>
      <c r="P33" s="217" t="s">
        <v>731</v>
      </c>
      <c r="Q33" s="205">
        <v>200</v>
      </c>
      <c r="R33" s="205">
        <v>0</v>
      </c>
      <c r="S33" s="206">
        <f t="shared" si="15"/>
        <v>200</v>
      </c>
      <c r="T33" s="207" t="str">
        <f t="shared" si="16"/>
        <v>NA</v>
      </c>
      <c r="V33" s="205">
        <v>0</v>
      </c>
      <c r="W33" s="205">
        <v>0</v>
      </c>
      <c r="X33" s="207" t="str">
        <f t="shared" si="17"/>
        <v>NA</v>
      </c>
      <c r="Y33" s="1039" t="s">
        <v>848</v>
      </c>
    </row>
    <row r="34" spans="1:25" ht="13.5" customHeight="1" x14ac:dyDescent="0.35">
      <c r="C34" s="1068" t="s">
        <v>99</v>
      </c>
      <c r="D34" s="1069"/>
      <c r="E34" s="216"/>
      <c r="F34" s="217"/>
      <c r="G34" s="217"/>
      <c r="H34" s="217"/>
      <c r="I34" s="217"/>
      <c r="J34" s="217"/>
      <c r="K34" s="217"/>
      <c r="L34" s="217"/>
      <c r="M34" s="217"/>
      <c r="N34" s="217"/>
      <c r="O34" s="208"/>
      <c r="P34" s="217" t="s">
        <v>733</v>
      </c>
      <c r="Q34" s="205">
        <v>750</v>
      </c>
      <c r="R34" s="205">
        <v>500</v>
      </c>
      <c r="S34" s="206">
        <f t="shared" si="15"/>
        <v>250</v>
      </c>
      <c r="T34" s="207">
        <f>IF(R34=0,"NA",(+Q34-R34)/R34)</f>
        <v>0.5</v>
      </c>
      <c r="V34" s="205">
        <v>434.69</v>
      </c>
      <c r="W34" s="205">
        <v>333.36</v>
      </c>
      <c r="X34" s="207">
        <f>IF(W34=0,"NA",(+V34-W34)/W34)</f>
        <v>0.30396568274538033</v>
      </c>
      <c r="Y34" s="1039" t="s">
        <v>849</v>
      </c>
    </row>
    <row r="35" spans="1:25" s="2" customFormat="1" ht="13.5" customHeight="1" x14ac:dyDescent="0.35">
      <c r="A35" s="40">
        <v>36</v>
      </c>
      <c r="B35" s="1078" t="s">
        <v>13</v>
      </c>
      <c r="C35" s="1078"/>
      <c r="D35" s="1078"/>
      <c r="E35" s="59"/>
      <c r="F35" s="59"/>
      <c r="G35" s="59"/>
      <c r="H35" s="59"/>
      <c r="I35" s="59"/>
      <c r="J35" s="59"/>
      <c r="K35" s="59"/>
      <c r="L35" s="59"/>
      <c r="M35" s="59"/>
      <c r="N35" s="59"/>
      <c r="O35" s="34"/>
      <c r="P35" s="59"/>
      <c r="Q35" s="18">
        <f>SUM(Q30:Q34)</f>
        <v>3250</v>
      </c>
      <c r="R35" s="34">
        <f>SUM(R30:R34)</f>
        <v>2300</v>
      </c>
      <c r="S35" s="34">
        <f>SUM(S30:S34)</f>
        <v>950</v>
      </c>
      <c r="T35" s="19">
        <f t="shared" si="16"/>
        <v>0.41304347826086957</v>
      </c>
      <c r="U35" s="557"/>
      <c r="V35" s="34">
        <f>SUM(V30:V34)</f>
        <v>1699.46</v>
      </c>
      <c r="W35" s="34">
        <f>SUM(W30:W34)</f>
        <v>1388.96</v>
      </c>
      <c r="X35" s="19">
        <f t="shared" si="17"/>
        <v>0.22354855431401913</v>
      </c>
      <c r="Y35" s="1040"/>
    </row>
    <row r="36" spans="1:25" ht="13.5" customHeight="1" x14ac:dyDescent="0.35">
      <c r="A36" s="40">
        <v>40</v>
      </c>
      <c r="B36" s="1062" t="s">
        <v>108</v>
      </c>
      <c r="T36" s="4"/>
    </row>
    <row r="37" spans="1:25" ht="13.5" customHeight="1" x14ac:dyDescent="0.35">
      <c r="A37" s="40">
        <v>41</v>
      </c>
      <c r="C37" s="1064" t="s">
        <v>14</v>
      </c>
      <c r="D37" s="1065"/>
      <c r="E37" s="335"/>
      <c r="F37" s="336"/>
      <c r="G37" s="336"/>
      <c r="H37" s="336"/>
      <c r="I37" s="336"/>
      <c r="J37" s="336"/>
      <c r="K37" s="336"/>
      <c r="L37" s="336"/>
      <c r="M37" s="336"/>
      <c r="N37" s="336"/>
      <c r="O37" s="333"/>
      <c r="P37" s="336" t="s">
        <v>734</v>
      </c>
      <c r="Q37" s="340">
        <v>4000</v>
      </c>
      <c r="R37" s="340">
        <v>4000</v>
      </c>
      <c r="S37" s="338">
        <f>+Q37-R37</f>
        <v>0</v>
      </c>
      <c r="T37" s="339">
        <f t="shared" ref="T37:T42" si="18">IF(R37=0,"NA",(+Q37-R37)/R37)</f>
        <v>0</v>
      </c>
      <c r="V37" s="337">
        <v>1717.45</v>
      </c>
      <c r="W37" s="337">
        <v>2666.64</v>
      </c>
      <c r="X37" s="339">
        <f t="shared" ref="X37:X42" si="19">IF(W37=0,"NA",(+V37-W37)/W37)</f>
        <v>-0.35594980949809496</v>
      </c>
      <c r="Y37" s="1029"/>
    </row>
    <row r="38" spans="1:25" ht="13.5" customHeight="1" x14ac:dyDescent="0.35">
      <c r="A38" s="40">
        <v>44</v>
      </c>
      <c r="C38" s="1024" t="s">
        <v>16</v>
      </c>
      <c r="D38" s="1066"/>
      <c r="E38" s="213"/>
      <c r="F38" s="214"/>
      <c r="G38" s="214"/>
      <c r="H38" s="214"/>
      <c r="I38" s="214"/>
      <c r="J38" s="214"/>
      <c r="K38" s="214"/>
      <c r="L38" s="214"/>
      <c r="M38" s="214"/>
      <c r="N38" s="214"/>
      <c r="O38" s="204"/>
      <c r="P38" s="214" t="s">
        <v>735</v>
      </c>
      <c r="Q38" s="201">
        <v>100</v>
      </c>
      <c r="R38" s="201">
        <v>100</v>
      </c>
      <c r="S38" s="202">
        <f>+Q38-R38</f>
        <v>0</v>
      </c>
      <c r="T38" s="203">
        <f t="shared" si="18"/>
        <v>0</v>
      </c>
      <c r="V38" s="201">
        <v>41</v>
      </c>
      <c r="W38" s="201">
        <v>66.64</v>
      </c>
      <c r="X38" s="203">
        <f t="shared" si="19"/>
        <v>-0.38475390156062428</v>
      </c>
      <c r="Y38" s="1030"/>
    </row>
    <row r="39" spans="1:25" s="2" customFormat="1" ht="13.5" customHeight="1" x14ac:dyDescent="0.35">
      <c r="A39" s="40">
        <v>45</v>
      </c>
      <c r="B39" s="1078" t="s">
        <v>109</v>
      </c>
      <c r="C39" s="1078"/>
      <c r="D39" s="1078"/>
      <c r="E39" s="59"/>
      <c r="F39" s="59"/>
      <c r="G39" s="59"/>
      <c r="H39" s="59"/>
      <c r="I39" s="59"/>
      <c r="J39" s="59"/>
      <c r="K39" s="59"/>
      <c r="L39" s="59"/>
      <c r="M39" s="59"/>
      <c r="N39" s="59"/>
      <c r="O39" s="34"/>
      <c r="P39" s="59"/>
      <c r="Q39" s="18">
        <f>SUM(Q37:Q38)</f>
        <v>4100</v>
      </c>
      <c r="R39" s="34">
        <f>SUM(R37:R38)</f>
        <v>4100</v>
      </c>
      <c r="S39" s="34">
        <f>SUM(S37:S38)</f>
        <v>0</v>
      </c>
      <c r="T39" s="19">
        <f t="shared" si="18"/>
        <v>0</v>
      </c>
      <c r="U39" s="557"/>
      <c r="V39" s="34">
        <f>SUM(V37:V38)</f>
        <v>1758.45</v>
      </c>
      <c r="W39" s="34">
        <f>SUM(W37:W38)</f>
        <v>2733.2799999999997</v>
      </c>
      <c r="X39" s="19">
        <f t="shared" si="19"/>
        <v>-0.35665208101621487</v>
      </c>
      <c r="Y39" s="1040"/>
    </row>
    <row r="40" spans="1:25" s="13" customFormat="1" ht="13.5" customHeight="1" x14ac:dyDescent="0.35">
      <c r="A40" s="1018">
        <v>51</v>
      </c>
      <c r="B40" s="1061" t="s">
        <v>17</v>
      </c>
      <c r="C40" s="1279"/>
      <c r="D40" s="1079"/>
      <c r="E40" s="54"/>
      <c r="F40" s="54"/>
      <c r="G40" s="54"/>
      <c r="H40" s="54"/>
      <c r="I40" s="54"/>
      <c r="J40" s="54"/>
      <c r="K40" s="54"/>
      <c r="L40" s="54"/>
      <c r="M40" s="54"/>
      <c r="N40" s="54"/>
      <c r="P40" s="53" t="s">
        <v>823</v>
      </c>
      <c r="Q40" s="50">
        <v>3000</v>
      </c>
      <c r="R40" s="50">
        <v>3000</v>
      </c>
      <c r="S40" s="254">
        <f>+Q40-R40</f>
        <v>0</v>
      </c>
      <c r="T40" s="1019">
        <f t="shared" si="18"/>
        <v>0</v>
      </c>
      <c r="U40" s="1014"/>
      <c r="V40" s="50">
        <v>1689.01</v>
      </c>
      <c r="W40" s="50">
        <v>2000</v>
      </c>
      <c r="X40" s="1019">
        <f t="shared" si="19"/>
        <v>-0.15549499999999999</v>
      </c>
      <c r="Y40" s="1041"/>
    </row>
    <row r="41" spans="1:25" s="13" customFormat="1" ht="13.5" customHeight="1" x14ac:dyDescent="0.35">
      <c r="A41" s="1018">
        <v>56</v>
      </c>
      <c r="B41" s="1133" t="s">
        <v>850</v>
      </c>
      <c r="C41" s="1021"/>
      <c r="D41" s="1080"/>
      <c r="E41" s="1020"/>
      <c r="F41" s="1020"/>
      <c r="G41" s="1020"/>
      <c r="H41" s="1020"/>
      <c r="I41" s="1020"/>
      <c r="J41" s="1020"/>
      <c r="K41" s="1020"/>
      <c r="L41" s="1020"/>
      <c r="M41" s="1020"/>
      <c r="N41" s="1020"/>
      <c r="O41" s="1021"/>
      <c r="P41" s="1228" t="s">
        <v>736</v>
      </c>
      <c r="Q41" s="218">
        <v>400</v>
      </c>
      <c r="R41" s="218">
        <v>400</v>
      </c>
      <c r="S41" s="234">
        <f>+Q41-R41</f>
        <v>0</v>
      </c>
      <c r="T41" s="1022">
        <f t="shared" si="18"/>
        <v>0</v>
      </c>
      <c r="U41" s="1014"/>
      <c r="V41" s="218">
        <v>0</v>
      </c>
      <c r="W41" s="218">
        <v>266.64</v>
      </c>
      <c r="X41" s="1022">
        <f t="shared" si="19"/>
        <v>-1</v>
      </c>
      <c r="Y41" s="1024"/>
    </row>
    <row r="42" spans="1:25" s="46" customFormat="1" ht="13.5" customHeight="1" x14ac:dyDescent="0.35">
      <c r="A42" s="1018">
        <v>58</v>
      </c>
      <c r="B42" s="1133" t="s">
        <v>375</v>
      </c>
      <c r="C42" s="212"/>
      <c r="D42" s="1080"/>
      <c r="E42" s="213"/>
      <c r="F42" s="213"/>
      <c r="G42" s="213"/>
      <c r="H42" s="213"/>
      <c r="I42" s="213"/>
      <c r="J42" s="213"/>
      <c r="K42" s="213"/>
      <c r="L42" s="213"/>
      <c r="M42" s="213"/>
      <c r="N42" s="213"/>
      <c r="O42" s="212"/>
      <c r="P42" s="213" t="s">
        <v>733</v>
      </c>
      <c r="Q42" s="218">
        <v>250</v>
      </c>
      <c r="R42" s="218">
        <v>250</v>
      </c>
      <c r="S42" s="234">
        <f>+Q42-R42</f>
        <v>0</v>
      </c>
      <c r="T42" s="1023">
        <f t="shared" si="18"/>
        <v>0</v>
      </c>
      <c r="U42" s="334"/>
      <c r="V42" s="218">
        <v>0</v>
      </c>
      <c r="W42" s="218">
        <v>0</v>
      </c>
      <c r="X42" s="1023" t="str">
        <f t="shared" si="19"/>
        <v>NA</v>
      </c>
      <c r="Y42" s="1339" t="s">
        <v>835</v>
      </c>
    </row>
    <row r="43" spans="1:25" ht="13.5" customHeight="1" x14ac:dyDescent="0.35">
      <c r="A43" s="40">
        <v>60</v>
      </c>
      <c r="B43" s="1062" t="s">
        <v>19</v>
      </c>
      <c r="T43" s="4"/>
      <c r="W43" s="1">
        <v>0</v>
      </c>
    </row>
    <row r="44" spans="1:25" ht="13.5" customHeight="1" x14ac:dyDescent="0.35">
      <c r="A44" s="40">
        <v>61</v>
      </c>
      <c r="C44" s="1073" t="s">
        <v>20</v>
      </c>
      <c r="D44" s="1074"/>
      <c r="E44" s="210"/>
      <c r="F44" s="211"/>
      <c r="G44" s="211"/>
      <c r="H44" s="211"/>
      <c r="I44" s="211"/>
      <c r="J44" s="211"/>
      <c r="K44" s="211"/>
      <c r="L44" s="211"/>
      <c r="M44" s="211"/>
      <c r="N44" s="211"/>
      <c r="O44" s="200"/>
      <c r="P44" s="211" t="s">
        <v>733</v>
      </c>
      <c r="Q44" s="220">
        <v>200</v>
      </c>
      <c r="R44" s="220">
        <v>200</v>
      </c>
      <c r="S44" s="198">
        <f t="shared" ref="S44:S54" si="20">+Q44-R44</f>
        <v>0</v>
      </c>
      <c r="T44" s="199">
        <f t="shared" ref="T44:T55" si="21">IF(R44=0,"NA",(+Q44-R44)/R44)</f>
        <v>0</v>
      </c>
      <c r="V44" s="197">
        <v>0</v>
      </c>
      <c r="W44" s="220">
        <v>0</v>
      </c>
      <c r="X44" s="199" t="str">
        <f t="shared" ref="X44:X55" si="22">IF(W44=0,"NA",(+V44-W44)/W44)</f>
        <v>NA</v>
      </c>
      <c r="Y44" s="1036"/>
    </row>
    <row r="45" spans="1:25" ht="13.5" customHeight="1" x14ac:dyDescent="0.35">
      <c r="C45" s="1024" t="s">
        <v>23</v>
      </c>
      <c r="D45" s="1066"/>
      <c r="E45" s="335"/>
      <c r="F45" s="336"/>
      <c r="G45" s="336"/>
      <c r="H45" s="336"/>
      <c r="I45" s="336"/>
      <c r="J45" s="336"/>
      <c r="K45" s="336"/>
      <c r="L45" s="336"/>
      <c r="M45" s="336"/>
      <c r="N45" s="336"/>
      <c r="O45" s="333"/>
      <c r="P45" s="211" t="s">
        <v>733</v>
      </c>
      <c r="Q45" s="220">
        <v>200</v>
      </c>
      <c r="R45" s="220">
        <v>200</v>
      </c>
      <c r="S45" s="198">
        <f t="shared" ref="S45" si="23">+Q45-R45</f>
        <v>0</v>
      </c>
      <c r="T45" s="199">
        <f t="shared" ref="T45" si="24">IF(R45=0,"NA",(+Q45-R45)/R45)</f>
        <v>0</v>
      </c>
      <c r="V45" s="197">
        <v>0</v>
      </c>
      <c r="W45" s="220">
        <v>133.36000000000001</v>
      </c>
      <c r="X45" s="199">
        <f t="shared" ref="X45" si="25">IF(W45=0,"NA",(+V45-W45)/W45)</f>
        <v>-1</v>
      </c>
      <c r="Y45" s="1036"/>
    </row>
    <row r="46" spans="1:25" ht="13.5" customHeight="1" x14ac:dyDescent="0.35">
      <c r="C46" s="1024" t="s">
        <v>877</v>
      </c>
      <c r="D46" s="1066"/>
      <c r="E46" s="335"/>
      <c r="F46" s="336"/>
      <c r="G46" s="336"/>
      <c r="H46" s="336"/>
      <c r="I46" s="336"/>
      <c r="J46" s="336"/>
      <c r="K46" s="336"/>
      <c r="L46" s="336"/>
      <c r="M46" s="336"/>
      <c r="N46" s="336"/>
      <c r="O46" s="333"/>
      <c r="P46" s="211" t="s">
        <v>733</v>
      </c>
      <c r="Q46" s="220">
        <v>500</v>
      </c>
      <c r="R46" s="220">
        <v>0</v>
      </c>
      <c r="S46" s="198">
        <f t="shared" ref="S46:S47" si="26">+Q46-R46</f>
        <v>500</v>
      </c>
      <c r="T46" s="199" t="str">
        <f t="shared" ref="T46:T47" si="27">IF(R46=0,"NA",(+Q46-R46)/R46)</f>
        <v>NA</v>
      </c>
      <c r="V46" s="197">
        <v>0</v>
      </c>
      <c r="W46" s="220">
        <v>0</v>
      </c>
      <c r="X46" s="199" t="str">
        <f t="shared" ref="X46:X47" si="28">IF(W46=0,"NA",(+V46-W46)/W46)</f>
        <v>NA</v>
      </c>
      <c r="Y46" s="1036" t="s">
        <v>878</v>
      </c>
    </row>
    <row r="47" spans="1:25" ht="13.5" customHeight="1" x14ac:dyDescent="0.35">
      <c r="C47" s="1024" t="s">
        <v>744</v>
      </c>
      <c r="D47" s="1066"/>
      <c r="E47" s="335"/>
      <c r="F47" s="336"/>
      <c r="G47" s="336"/>
      <c r="H47" s="336"/>
      <c r="I47" s="336"/>
      <c r="J47" s="336"/>
      <c r="K47" s="336"/>
      <c r="L47" s="336"/>
      <c r="M47" s="336"/>
      <c r="N47" s="336"/>
      <c r="O47" s="333"/>
      <c r="P47" s="211" t="s">
        <v>733</v>
      </c>
      <c r="Q47" s="220">
        <v>500</v>
      </c>
      <c r="R47" s="220">
        <v>0</v>
      </c>
      <c r="S47" s="198">
        <f t="shared" si="26"/>
        <v>500</v>
      </c>
      <c r="T47" s="199" t="str">
        <f t="shared" si="27"/>
        <v>NA</v>
      </c>
      <c r="V47" s="197">
        <v>0</v>
      </c>
      <c r="W47" s="220">
        <v>0</v>
      </c>
      <c r="X47" s="199" t="str">
        <f t="shared" si="28"/>
        <v>NA</v>
      </c>
      <c r="Y47" s="1036" t="s">
        <v>878</v>
      </c>
    </row>
    <row r="48" spans="1:25" ht="13.5" customHeight="1" x14ac:dyDescent="0.35">
      <c r="C48" s="1024" t="s">
        <v>623</v>
      </c>
      <c r="D48" s="1066"/>
      <c r="E48" s="335"/>
      <c r="F48" s="336"/>
      <c r="G48" s="336"/>
      <c r="H48" s="336"/>
      <c r="I48" s="336"/>
      <c r="J48" s="336"/>
      <c r="K48" s="336"/>
      <c r="L48" s="336"/>
      <c r="M48" s="336"/>
      <c r="N48" s="336"/>
      <c r="O48" s="333"/>
      <c r="P48" s="211" t="s">
        <v>737</v>
      </c>
      <c r="Q48" s="220">
        <v>500</v>
      </c>
      <c r="R48" s="220">
        <v>500</v>
      </c>
      <c r="S48" s="198">
        <f t="shared" ref="S48" si="29">+Q48-R48</f>
        <v>0</v>
      </c>
      <c r="T48" s="199">
        <f t="shared" ref="T48" si="30">IF(R48=0,"NA",(+Q48-R48)/R48)</f>
        <v>0</v>
      </c>
      <c r="V48" s="197">
        <v>135.30000000000001</v>
      </c>
      <c r="W48" s="220">
        <v>333.36</v>
      </c>
      <c r="X48" s="199">
        <f t="shared" ref="X48" si="31">IF(W48=0,"NA",(+V48-W48)/W48)</f>
        <v>-0.59413246940244779</v>
      </c>
      <c r="Y48" s="1036" t="s">
        <v>853</v>
      </c>
    </row>
    <row r="49" spans="1:25" ht="29" customHeight="1" x14ac:dyDescent="0.35">
      <c r="C49" s="1068" t="s">
        <v>721</v>
      </c>
      <c r="D49" s="1069"/>
      <c r="E49" s="335"/>
      <c r="F49" s="336"/>
      <c r="G49" s="336"/>
      <c r="H49" s="336"/>
      <c r="I49" s="336"/>
      <c r="J49" s="336"/>
      <c r="K49" s="336"/>
      <c r="L49" s="336"/>
      <c r="M49" s="336"/>
      <c r="N49" s="336"/>
      <c r="O49" s="333"/>
      <c r="P49" s="211" t="s">
        <v>733</v>
      </c>
      <c r="Q49" s="220">
        <v>750</v>
      </c>
      <c r="R49" s="220">
        <v>300</v>
      </c>
      <c r="S49" s="198">
        <f t="shared" ref="S49" si="32">+Q49-R49</f>
        <v>450</v>
      </c>
      <c r="T49" s="199">
        <f t="shared" ref="T49" si="33">IF(R49=0,"NA",(+Q49-R49)/R49)</f>
        <v>1.5</v>
      </c>
      <c r="V49" s="1395">
        <v>427.36</v>
      </c>
      <c r="W49" s="1396">
        <v>200</v>
      </c>
      <c r="X49" s="199">
        <f t="shared" ref="X49" si="34">IF(W49=0,"NA",(+V49-W49)/W49)</f>
        <v>1.1368</v>
      </c>
      <c r="Y49" s="1402" t="s">
        <v>854</v>
      </c>
    </row>
    <row r="50" spans="1:25" x14ac:dyDescent="0.35">
      <c r="C50" s="1068" t="s">
        <v>855</v>
      </c>
      <c r="D50" s="1069"/>
      <c r="E50" s="335"/>
      <c r="F50" s="336"/>
      <c r="G50" s="336"/>
      <c r="H50" s="336"/>
      <c r="I50" s="336"/>
      <c r="J50" s="336"/>
      <c r="K50" s="336"/>
      <c r="L50" s="336"/>
      <c r="M50" s="336"/>
      <c r="N50" s="336"/>
      <c r="O50" s="333"/>
      <c r="P50" s="211" t="s">
        <v>733</v>
      </c>
      <c r="Q50" s="220">
        <v>500</v>
      </c>
      <c r="R50" s="220">
        <v>500</v>
      </c>
      <c r="S50" s="198">
        <f t="shared" ref="S50" si="35">+Q50-R50</f>
        <v>0</v>
      </c>
      <c r="T50" s="199">
        <f t="shared" ref="T50" si="36">IF(R50=0,"NA",(+Q50-R50)/R50)</f>
        <v>0</v>
      </c>
      <c r="V50" s="197">
        <v>-110.41</v>
      </c>
      <c r="W50" s="220">
        <v>333.36</v>
      </c>
      <c r="X50" s="199">
        <f t="shared" ref="X50" si="37">IF(W50=0,"NA",(+V50-W50)/W50)</f>
        <v>-1.3312035037197023</v>
      </c>
      <c r="Y50" s="1216" t="s">
        <v>856</v>
      </c>
    </row>
    <row r="51" spans="1:25" ht="13.5" customHeight="1" x14ac:dyDescent="0.35">
      <c r="C51" s="1068" t="s">
        <v>21</v>
      </c>
      <c r="D51" s="1069"/>
      <c r="E51" s="216"/>
      <c r="F51" s="217"/>
      <c r="G51" s="217"/>
      <c r="H51" s="217"/>
      <c r="I51" s="217"/>
      <c r="J51" s="217"/>
      <c r="K51" s="217"/>
      <c r="L51" s="217"/>
      <c r="M51" s="217"/>
      <c r="N51" s="217"/>
      <c r="O51" s="208"/>
      <c r="P51" s="217" t="s">
        <v>738</v>
      </c>
      <c r="Q51" s="219">
        <v>400</v>
      </c>
      <c r="R51" s="219">
        <v>300</v>
      </c>
      <c r="S51" s="206">
        <f>+Q51-R51</f>
        <v>100</v>
      </c>
      <c r="T51" s="207">
        <f>IF(R51=0,"NA",(+Q51-R51)/R51)</f>
        <v>0.33333333333333331</v>
      </c>
      <c r="V51" s="205">
        <v>0</v>
      </c>
      <c r="W51" s="219">
        <v>0</v>
      </c>
      <c r="X51" s="207" t="str">
        <f>IF(W51=0,"NA",(+V51-W51)/W51)</f>
        <v>NA</v>
      </c>
      <c r="Y51" s="1039" t="s">
        <v>857</v>
      </c>
    </row>
    <row r="52" spans="1:25" x14ac:dyDescent="0.35">
      <c r="A52" s="40">
        <v>63</v>
      </c>
      <c r="C52" s="1068" t="s">
        <v>22</v>
      </c>
      <c r="D52" s="1069"/>
      <c r="E52" s="216"/>
      <c r="F52" s="217"/>
      <c r="G52" s="217"/>
      <c r="H52" s="217"/>
      <c r="I52" s="217"/>
      <c r="J52" s="217"/>
      <c r="K52" s="217"/>
      <c r="L52" s="217"/>
      <c r="M52" s="217"/>
      <c r="N52" s="217"/>
      <c r="O52" s="208"/>
      <c r="P52" s="217" t="s">
        <v>738</v>
      </c>
      <c r="Q52" s="219">
        <v>900</v>
      </c>
      <c r="R52" s="219">
        <v>750</v>
      </c>
      <c r="S52" s="206">
        <f t="shared" si="20"/>
        <v>150</v>
      </c>
      <c r="T52" s="207">
        <f t="shared" si="21"/>
        <v>0.2</v>
      </c>
      <c r="V52" s="205">
        <v>270</v>
      </c>
      <c r="W52" s="219">
        <v>750</v>
      </c>
      <c r="X52" s="207">
        <f t="shared" si="22"/>
        <v>-0.64</v>
      </c>
      <c r="Y52" s="1043" t="s">
        <v>858</v>
      </c>
    </row>
    <row r="53" spans="1:25" ht="13.5" customHeight="1" x14ac:dyDescent="0.35">
      <c r="C53" s="1024" t="s">
        <v>224</v>
      </c>
      <c r="D53" s="1066"/>
      <c r="E53" s="213"/>
      <c r="F53" s="214"/>
      <c r="G53" s="214"/>
      <c r="H53" s="214"/>
      <c r="I53" s="214"/>
      <c r="J53" s="214"/>
      <c r="K53" s="214"/>
      <c r="L53" s="214"/>
      <c r="M53" s="214"/>
      <c r="N53" s="214"/>
      <c r="O53" s="204"/>
      <c r="P53" s="213" t="s">
        <v>824</v>
      </c>
      <c r="Q53" s="218">
        <v>700</v>
      </c>
      <c r="R53" s="218">
        <v>700</v>
      </c>
      <c r="S53" s="202">
        <f>+Q53-R53</f>
        <v>0</v>
      </c>
      <c r="T53" s="203">
        <f>IF(R53=0,"NA",(+Q53-R53)/R53)</f>
        <v>0</v>
      </c>
      <c r="V53" s="201">
        <v>200</v>
      </c>
      <c r="W53" s="218">
        <v>466.64</v>
      </c>
      <c r="X53" s="203">
        <f>IF(W53=0,"NA",(+V53-W53)/W53)</f>
        <v>-0.57140408023315614</v>
      </c>
      <c r="Y53" s="1337" t="s">
        <v>836</v>
      </c>
    </row>
    <row r="54" spans="1:25" ht="13.5" customHeight="1" x14ac:dyDescent="0.35">
      <c r="A54" s="40">
        <v>65</v>
      </c>
      <c r="C54" s="1068" t="s">
        <v>106</v>
      </c>
      <c r="D54" s="1069"/>
      <c r="E54" s="216"/>
      <c r="F54" s="217"/>
      <c r="G54" s="217"/>
      <c r="H54" s="217"/>
      <c r="I54" s="217"/>
      <c r="J54" s="217"/>
      <c r="K54" s="217"/>
      <c r="L54" s="217"/>
      <c r="M54" s="217"/>
      <c r="N54" s="217"/>
      <c r="O54" s="208"/>
      <c r="P54" s="217" t="s">
        <v>733</v>
      </c>
      <c r="Q54" s="219">
        <v>500</v>
      </c>
      <c r="R54" s="219">
        <v>500</v>
      </c>
      <c r="S54" s="206">
        <f t="shared" si="20"/>
        <v>0</v>
      </c>
      <c r="T54" s="207">
        <f t="shared" si="21"/>
        <v>0</v>
      </c>
      <c r="V54" s="219">
        <v>120</v>
      </c>
      <c r="W54" s="219">
        <v>333.36</v>
      </c>
      <c r="X54" s="207">
        <f t="shared" si="22"/>
        <v>-0.64002879769618437</v>
      </c>
      <c r="Y54" s="1029" t="s">
        <v>837</v>
      </c>
    </row>
    <row r="55" spans="1:25" s="2" customFormat="1" ht="13.5" customHeight="1" x14ac:dyDescent="0.35">
      <c r="A55" s="40">
        <v>66</v>
      </c>
      <c r="B55" s="1078" t="s">
        <v>24</v>
      </c>
      <c r="C55" s="1078"/>
      <c r="D55" s="1078"/>
      <c r="E55" s="59"/>
      <c r="F55" s="59"/>
      <c r="G55" s="59"/>
      <c r="H55" s="59"/>
      <c r="I55" s="59"/>
      <c r="J55" s="59"/>
      <c r="K55" s="59"/>
      <c r="L55" s="59"/>
      <c r="M55" s="59"/>
      <c r="N55" s="59"/>
      <c r="O55" s="34"/>
      <c r="P55" s="59"/>
      <c r="Q55" s="18">
        <f>SUM(Q44:Q54)</f>
        <v>5650</v>
      </c>
      <c r="R55" s="34">
        <f>SUM(R44:R54)</f>
        <v>3950</v>
      </c>
      <c r="S55" s="34">
        <f>SUM(S44:S54)</f>
        <v>1700</v>
      </c>
      <c r="T55" s="19">
        <f t="shared" si="21"/>
        <v>0.43037974683544306</v>
      </c>
      <c r="U55" s="557"/>
      <c r="V55" s="34">
        <f>SUM(V44:V54)</f>
        <v>1042.25</v>
      </c>
      <c r="W55" s="34">
        <f>SUM(W44:W54)</f>
        <v>2550.08</v>
      </c>
      <c r="X55" s="19">
        <f t="shared" si="22"/>
        <v>-0.59128733216212825</v>
      </c>
      <c r="Y55" s="1040"/>
    </row>
    <row r="56" spans="1:25" ht="13.5" customHeight="1" x14ac:dyDescent="0.35">
      <c r="A56" s="40">
        <v>68</v>
      </c>
      <c r="B56" s="1062" t="s">
        <v>25</v>
      </c>
      <c r="T56" s="4"/>
    </row>
    <row r="57" spans="1:25" ht="13.5" customHeight="1" x14ac:dyDescent="0.35">
      <c r="A57" s="40">
        <v>69</v>
      </c>
      <c r="C57" s="1073" t="s">
        <v>26</v>
      </c>
      <c r="D57" s="1074"/>
      <c r="E57" s="210"/>
      <c r="F57" s="211"/>
      <c r="G57" s="211"/>
      <c r="H57" s="211"/>
      <c r="I57" s="211"/>
      <c r="J57" s="211"/>
      <c r="K57" s="211"/>
      <c r="L57" s="211"/>
      <c r="M57" s="211"/>
      <c r="N57" s="211"/>
      <c r="O57" s="200"/>
      <c r="P57" s="211" t="s">
        <v>735</v>
      </c>
      <c r="Q57" s="220">
        <v>2000</v>
      </c>
      <c r="R57" s="220">
        <v>2000</v>
      </c>
      <c r="S57" s="198">
        <f t="shared" ref="S57:S63" si="38">+Q57-R57</f>
        <v>0</v>
      </c>
      <c r="T57" s="199">
        <f t="shared" ref="T57:T66" si="39">IF(R57=0,"NA",(+Q57-R57)/R57)</f>
        <v>0</v>
      </c>
      <c r="V57" s="197">
        <v>1134.05</v>
      </c>
      <c r="W57" s="220">
        <v>1333.36</v>
      </c>
      <c r="X57" s="199">
        <f t="shared" ref="X57:X66" si="40">IF(W57=0,"NA",(+V57-W57)/W57)</f>
        <v>-0.14947951040979177</v>
      </c>
      <c r="Y57" s="1036"/>
    </row>
    <row r="58" spans="1:25" ht="13.5" customHeight="1" x14ac:dyDescent="0.35">
      <c r="A58" s="40">
        <v>70</v>
      </c>
      <c r="C58" s="1024" t="s">
        <v>27</v>
      </c>
      <c r="D58" s="1066"/>
      <c r="E58" s="213"/>
      <c r="F58" s="214"/>
      <c r="G58" s="214"/>
      <c r="H58" s="214"/>
      <c r="I58" s="214"/>
      <c r="J58" s="214"/>
      <c r="K58" s="214"/>
      <c r="L58" s="214"/>
      <c r="M58" s="214"/>
      <c r="N58" s="214"/>
      <c r="O58" s="204"/>
      <c r="P58" s="214" t="s">
        <v>735</v>
      </c>
      <c r="Q58" s="201">
        <v>2000</v>
      </c>
      <c r="R58" s="201">
        <v>2000</v>
      </c>
      <c r="S58" s="202">
        <f t="shared" si="38"/>
        <v>0</v>
      </c>
      <c r="T58" s="203">
        <f t="shared" si="39"/>
        <v>0</v>
      </c>
      <c r="V58" s="201">
        <v>0</v>
      </c>
      <c r="W58" s="201">
        <v>1333.36</v>
      </c>
      <c r="X58" s="203">
        <f t="shared" si="40"/>
        <v>-1</v>
      </c>
      <c r="Y58" s="1036"/>
    </row>
    <row r="59" spans="1:25" ht="13.5" customHeight="1" x14ac:dyDescent="0.35">
      <c r="C59" s="1024" t="s">
        <v>807</v>
      </c>
      <c r="D59" s="1066"/>
      <c r="E59" s="213"/>
      <c r="F59" s="214"/>
      <c r="G59" s="214"/>
      <c r="H59" s="214"/>
      <c r="I59" s="214"/>
      <c r="J59" s="214"/>
      <c r="K59" s="214"/>
      <c r="L59" s="214"/>
      <c r="M59" s="214"/>
      <c r="N59" s="214"/>
      <c r="O59" s="204"/>
      <c r="P59" s="214" t="s">
        <v>736</v>
      </c>
      <c r="Q59" s="202">
        <f>+'Tech Budget'!I24</f>
        <v>10719</v>
      </c>
      <c r="R59" s="202">
        <f>+'Tech Budget'!F24</f>
        <v>10719</v>
      </c>
      <c r="S59" s="202">
        <f t="shared" ref="S59" si="41">+Q59-R59</f>
        <v>0</v>
      </c>
      <c r="T59" s="203">
        <f t="shared" ref="T59" si="42">IF(R59=0,"NA",(+Q59-R59)/R59)</f>
        <v>0</v>
      </c>
      <c r="V59" s="201">
        <v>5950.85</v>
      </c>
      <c r="W59" s="201">
        <v>7146</v>
      </c>
      <c r="X59" s="203">
        <f t="shared" ref="X59" si="43">IF(W59=0,"NA",(+V59-W59)/W59)</f>
        <v>-0.16724741113909875</v>
      </c>
      <c r="Y59" s="1336"/>
    </row>
    <row r="60" spans="1:25" ht="13.5" customHeight="1" x14ac:dyDescent="0.35">
      <c r="C60" s="1024" t="s">
        <v>808</v>
      </c>
      <c r="D60" s="1066"/>
      <c r="E60" s="213"/>
      <c r="F60" s="214"/>
      <c r="G60" s="214"/>
      <c r="H60" s="214"/>
      <c r="I60" s="214"/>
      <c r="J60" s="214"/>
      <c r="K60" s="214"/>
      <c r="L60" s="214"/>
      <c r="M60" s="214"/>
      <c r="N60" s="214"/>
      <c r="O60" s="204"/>
      <c r="P60" s="214" t="s">
        <v>736</v>
      </c>
      <c r="Q60" s="201">
        <v>500</v>
      </c>
      <c r="R60" s="201">
        <v>500</v>
      </c>
      <c r="S60" s="202">
        <f t="shared" ref="S60" si="44">+Q60-R60</f>
        <v>0</v>
      </c>
      <c r="T60" s="203">
        <f t="shared" ref="T60" si="45">IF(R60=0,"NA",(+Q60-R60)/R60)</f>
        <v>0</v>
      </c>
      <c r="V60" s="201">
        <v>0</v>
      </c>
      <c r="W60" s="201">
        <v>333.36</v>
      </c>
      <c r="X60" s="203">
        <f t="shared" ref="X60" si="46">IF(W60=0,"NA",(+V60-W60)/W60)</f>
        <v>-1</v>
      </c>
      <c r="Y60" s="1042"/>
    </row>
    <row r="61" spans="1:25" x14ac:dyDescent="0.35">
      <c r="A61" s="40">
        <v>73</v>
      </c>
      <c r="C61" s="1068" t="s">
        <v>28</v>
      </c>
      <c r="D61" s="1069"/>
      <c r="E61" s="216"/>
      <c r="F61" s="217"/>
      <c r="G61" s="217"/>
      <c r="H61" s="217"/>
      <c r="I61" s="217"/>
      <c r="J61" s="217"/>
      <c r="K61" s="217"/>
      <c r="L61" s="217"/>
      <c r="M61" s="217"/>
      <c r="N61" s="217"/>
      <c r="O61" s="208"/>
      <c r="P61" s="217" t="s">
        <v>735</v>
      </c>
      <c r="Q61" s="219">
        <v>6000</v>
      </c>
      <c r="R61" s="219">
        <f>8600-2706</f>
        <v>5894</v>
      </c>
      <c r="S61" s="206">
        <f t="shared" si="38"/>
        <v>106</v>
      </c>
      <c r="T61" s="207">
        <f t="shared" si="39"/>
        <v>1.7984390906006106E-2</v>
      </c>
      <c r="V61" s="219">
        <v>4014.13</v>
      </c>
      <c r="W61" s="219">
        <v>3929.36</v>
      </c>
      <c r="X61" s="207">
        <f t="shared" si="40"/>
        <v>2.157348779444998E-2</v>
      </c>
      <c r="Y61" s="1043"/>
    </row>
    <row r="62" spans="1:25" ht="26.5" customHeight="1" x14ac:dyDescent="0.35">
      <c r="A62" s="40">
        <v>74</v>
      </c>
      <c r="C62" s="1024" t="s">
        <v>29</v>
      </c>
      <c r="D62" s="1066"/>
      <c r="E62" s="213"/>
      <c r="F62" s="214"/>
      <c r="G62" s="214"/>
      <c r="H62" s="214"/>
      <c r="I62" s="214"/>
      <c r="J62" s="214"/>
      <c r="K62" s="214"/>
      <c r="L62" s="214"/>
      <c r="M62" s="214"/>
      <c r="N62" s="214"/>
      <c r="O62" s="204"/>
      <c r="P62" s="214" t="s">
        <v>735</v>
      </c>
      <c r="Q62" s="218">
        <f>700</f>
        <v>700</v>
      </c>
      <c r="R62" s="218">
        <f>700</f>
        <v>700</v>
      </c>
      <c r="S62" s="202">
        <f t="shared" si="38"/>
        <v>0</v>
      </c>
      <c r="T62" s="203">
        <f t="shared" si="39"/>
        <v>0</v>
      </c>
      <c r="V62" s="201">
        <v>612.4</v>
      </c>
      <c r="W62" s="218">
        <v>466.64</v>
      </c>
      <c r="X62" s="203">
        <f t="shared" si="40"/>
        <v>0.31236070632607577</v>
      </c>
      <c r="Y62" s="1417" t="s">
        <v>884</v>
      </c>
    </row>
    <row r="63" spans="1:25" ht="13.5" customHeight="1" thickBot="1" x14ac:dyDescent="0.4">
      <c r="A63" s="40">
        <v>75</v>
      </c>
      <c r="C63" s="1068" t="s">
        <v>30</v>
      </c>
      <c r="D63" s="1069"/>
      <c r="E63" s="1460" t="s">
        <v>118</v>
      </c>
      <c r="F63" s="1461"/>
      <c r="G63" s="1461"/>
      <c r="H63" s="1461"/>
      <c r="I63" s="1461"/>
      <c r="J63" s="1461"/>
      <c r="K63" s="1461"/>
      <c r="L63" s="1461"/>
      <c r="M63" s="1462"/>
      <c r="N63" s="330"/>
      <c r="O63" s="208"/>
      <c r="P63" s="217" t="s">
        <v>739</v>
      </c>
      <c r="Q63" s="219">
        <v>3000</v>
      </c>
      <c r="R63" s="219">
        <v>3000</v>
      </c>
      <c r="S63" s="206">
        <f t="shared" si="38"/>
        <v>0</v>
      </c>
      <c r="T63" s="207">
        <f t="shared" si="39"/>
        <v>0</v>
      </c>
      <c r="V63" s="205">
        <v>2146.23</v>
      </c>
      <c r="W63" s="219">
        <v>2000</v>
      </c>
      <c r="X63" s="207">
        <f t="shared" si="40"/>
        <v>7.3115000000000013E-2</v>
      </c>
      <c r="Y63" s="1393"/>
    </row>
    <row r="64" spans="1:25" ht="13.5" customHeight="1" thickBot="1" x14ac:dyDescent="0.4">
      <c r="C64" s="1068" t="s">
        <v>215</v>
      </c>
      <c r="D64" s="1069"/>
      <c r="E64" s="216"/>
      <c r="F64" s="217"/>
      <c r="G64" s="217"/>
      <c r="H64" s="217"/>
      <c r="I64" s="217"/>
      <c r="J64" s="217"/>
      <c r="K64" s="217"/>
      <c r="L64" s="217"/>
      <c r="M64" s="217"/>
      <c r="N64" s="217"/>
      <c r="O64" s="208"/>
      <c r="P64" s="217" t="s">
        <v>739</v>
      </c>
      <c r="Q64" s="219">
        <v>200</v>
      </c>
      <c r="R64" s="219">
        <v>200</v>
      </c>
      <c r="S64" s="206">
        <f>+Q64-R64</f>
        <v>0</v>
      </c>
      <c r="T64" s="207">
        <f>IF(R64=0,"NA",(+Q64-R64)/R64)</f>
        <v>0</v>
      </c>
      <c r="V64" s="205">
        <v>0</v>
      </c>
      <c r="W64" s="219">
        <v>133.36000000000001</v>
      </c>
      <c r="X64" s="207">
        <f>IF(W64=0,"NA",(+V64-W64)/W64)</f>
        <v>-1</v>
      </c>
      <c r="Y64" s="1039" t="s">
        <v>838</v>
      </c>
    </row>
    <row r="65" spans="1:26" s="2" customFormat="1" ht="13.5" customHeight="1" x14ac:dyDescent="0.35">
      <c r="A65" s="40">
        <v>76</v>
      </c>
      <c r="B65" s="1078" t="s">
        <v>32</v>
      </c>
      <c r="C65" s="1078"/>
      <c r="D65" s="1078"/>
      <c r="E65" s="1458">
        <f>Bud_Yr</f>
        <v>2026</v>
      </c>
      <c r="F65" s="1459"/>
      <c r="G65" s="1459"/>
      <c r="H65" s="1459"/>
      <c r="I65" s="1459">
        <f>Bud_Yr-1</f>
        <v>2025</v>
      </c>
      <c r="J65" s="1459"/>
      <c r="K65" s="1459"/>
      <c r="L65" s="1459"/>
      <c r="M65" s="65">
        <f>Bud_Yr-2</f>
        <v>2024</v>
      </c>
      <c r="N65" s="331"/>
      <c r="O65" s="34"/>
      <c r="P65" s="59"/>
      <c r="Q65" s="18">
        <f>SUM(Q57:Q64)</f>
        <v>25119</v>
      </c>
      <c r="R65" s="34">
        <f>SUM(R57:R64)</f>
        <v>25013</v>
      </c>
      <c r="S65" s="34">
        <f>SUM(S57:S64)</f>
        <v>106</v>
      </c>
      <c r="T65" s="19">
        <f t="shared" si="39"/>
        <v>4.2377963459001317E-3</v>
      </c>
      <c r="U65" s="557"/>
      <c r="V65" s="34">
        <f>SUM(V57:V64)</f>
        <v>13857.66</v>
      </c>
      <c r="W65" s="34">
        <f>SUM(W57:W64)</f>
        <v>16675.440000000002</v>
      </c>
      <c r="X65" s="19">
        <f t="shared" si="40"/>
        <v>-0.16897785005972868</v>
      </c>
      <c r="Y65" s="1040"/>
      <c r="Z65" s="1"/>
    </row>
    <row r="66" spans="1:26" ht="17" customHeight="1" thickBot="1" x14ac:dyDescent="0.4">
      <c r="A66" s="40">
        <v>77</v>
      </c>
      <c r="B66" s="1078" t="s">
        <v>81</v>
      </c>
      <c r="C66" s="1081"/>
      <c r="D66" s="1081"/>
      <c r="E66" s="66" t="s">
        <v>116</v>
      </c>
      <c r="F66" s="67" t="s">
        <v>117</v>
      </c>
      <c r="G66" s="67" t="s">
        <v>120</v>
      </c>
      <c r="H66" s="67" t="s">
        <v>115</v>
      </c>
      <c r="I66" s="67" t="s">
        <v>116</v>
      </c>
      <c r="J66" s="67" t="s">
        <v>117</v>
      </c>
      <c r="K66" s="67" t="s">
        <v>120</v>
      </c>
      <c r="L66" s="67" t="s">
        <v>115</v>
      </c>
      <c r="M66" s="68" t="s">
        <v>117</v>
      </c>
      <c r="N66" s="332"/>
      <c r="O66" s="21"/>
      <c r="P66" s="1226"/>
      <c r="Q66" s="18">
        <f>+Q35+Q39+Q40+Q42+Q55+Q65+Q41</f>
        <v>41769</v>
      </c>
      <c r="R66" s="34">
        <f>+R35+R39+R40+R42+R55+R65+R41</f>
        <v>39013</v>
      </c>
      <c r="S66" s="34">
        <f>+S35+S39+S40+S42+S55+S65+S41</f>
        <v>2756</v>
      </c>
      <c r="T66" s="19">
        <f t="shared" si="39"/>
        <v>7.0643118960346557E-2</v>
      </c>
      <c r="V66" s="34">
        <f>+V35+V39+V40+V42+V55+V65+V41</f>
        <v>20046.830000000002</v>
      </c>
      <c r="W66" s="34">
        <f>+W35+W39+W40+W42+W55+W65+W41</f>
        <v>25614.400000000001</v>
      </c>
      <c r="X66" s="19">
        <f t="shared" si="40"/>
        <v>-0.21736093759760133</v>
      </c>
      <c r="Y66" s="1040"/>
    </row>
    <row r="67" spans="1:26" ht="17" customHeight="1" x14ac:dyDescent="0.35">
      <c r="A67" s="40">
        <v>79</v>
      </c>
      <c r="B67" s="1072" t="s">
        <v>31</v>
      </c>
      <c r="F67" s="60">
        <v>0.03</v>
      </c>
      <c r="G67" s="1463" t="s">
        <v>93</v>
      </c>
      <c r="H67" s="1463"/>
      <c r="J67" s="1472" t="s">
        <v>129</v>
      </c>
      <c r="K67" s="1472"/>
      <c r="L67" s="60">
        <v>0.01</v>
      </c>
      <c r="O67" s="1448" t="s">
        <v>89</v>
      </c>
      <c r="P67" s="1217"/>
      <c r="T67" s="4"/>
      <c r="W67" s="24"/>
    </row>
    <row r="68" spans="1:26" ht="13.5" customHeight="1" outlineLevel="2" x14ac:dyDescent="0.35">
      <c r="A68" s="40">
        <v>80</v>
      </c>
      <c r="B68" s="1082" t="s">
        <v>690</v>
      </c>
      <c r="D68" s="1083" t="s">
        <v>590</v>
      </c>
      <c r="F68" s="60">
        <v>0</v>
      </c>
      <c r="G68" s="1463" t="s">
        <v>94</v>
      </c>
      <c r="H68" s="1463"/>
      <c r="K68" s="1171"/>
      <c r="O68" s="1448"/>
      <c r="P68" s="1217"/>
      <c r="S68" s="93"/>
      <c r="T68" s="4"/>
      <c r="V68" s="94"/>
      <c r="W68" s="33"/>
    </row>
    <row r="69" spans="1:26" ht="13.5" customHeight="1" outlineLevel="2" x14ac:dyDescent="0.35">
      <c r="C69" s="1064" t="s">
        <v>130</v>
      </c>
      <c r="D69" s="1065"/>
      <c r="E69" s="335"/>
      <c r="F69" s="748"/>
      <c r="G69" s="749"/>
      <c r="H69" s="97"/>
      <c r="I69" s="98"/>
      <c r="J69" s="335"/>
      <c r="K69" s="98"/>
      <c r="L69" s="750"/>
      <c r="M69" s="101"/>
      <c r="N69" s="101"/>
      <c r="O69" s="334"/>
      <c r="P69" s="335"/>
      <c r="Q69" s="707">
        <f>+John!H8</f>
        <v>79166</v>
      </c>
      <c r="R69" s="707">
        <f>+John!F8</f>
        <v>76164</v>
      </c>
      <c r="S69" s="338">
        <f>+Q69-R69</f>
        <v>3002</v>
      </c>
      <c r="T69" s="339">
        <f>IF(R69=0,"NA",(+Q69-R69)/R69)</f>
        <v>3.9414946693976154E-2</v>
      </c>
      <c r="V69" s="337">
        <f>34774.44+15915.22</f>
        <v>50689.66</v>
      </c>
      <c r="W69" s="337">
        <f>34776+16000</f>
        <v>50776</v>
      </c>
      <c r="X69" s="339">
        <f>IF(W69=0,"NA",(+V69-W69)/W69)</f>
        <v>-1.7004096423506481E-3</v>
      </c>
      <c r="Y69" s="1029"/>
    </row>
    <row r="70" spans="1:26" ht="13.5" customHeight="1" outlineLevel="2" x14ac:dyDescent="0.35">
      <c r="A70" s="40">
        <v>82</v>
      </c>
      <c r="C70" s="1024" t="s">
        <v>33</v>
      </c>
      <c r="D70" s="1066"/>
      <c r="E70" s="213"/>
      <c r="F70" s="227"/>
      <c r="G70" s="228"/>
      <c r="H70" s="229"/>
      <c r="I70" s="230"/>
      <c r="J70" s="213"/>
      <c r="K70" s="231"/>
      <c r="L70" s="213"/>
      <c r="M70" s="232"/>
      <c r="N70" s="232"/>
      <c r="O70" s="233"/>
      <c r="P70" s="1227"/>
      <c r="Q70" s="234">
        <f>+John!H26</f>
        <v>1500</v>
      </c>
      <c r="R70" s="234">
        <f>+John!F26</f>
        <v>1500</v>
      </c>
      <c r="S70" s="202">
        <f t="shared" ref="S70:S76" si="47">+Q70-R70</f>
        <v>0</v>
      </c>
      <c r="T70" s="203">
        <f t="shared" ref="T70:T77" si="48">IF(R70=0,"NA",(+Q70-R70)/R70)</f>
        <v>0</v>
      </c>
      <c r="V70" s="201">
        <v>0</v>
      </c>
      <c r="W70" s="201">
        <v>1000</v>
      </c>
      <c r="X70" s="203">
        <f t="shared" ref="X70:X77" si="49">IF(W70=0,"NA",(+V70-W70)/W70)</f>
        <v>-1</v>
      </c>
      <c r="Y70" s="1421"/>
    </row>
    <row r="71" spans="1:26" ht="13.5" customHeight="1" outlineLevel="2" x14ac:dyDescent="0.35">
      <c r="C71" s="1024" t="s">
        <v>589</v>
      </c>
      <c r="D71" s="1066"/>
      <c r="E71" s="213"/>
      <c r="F71" s="227"/>
      <c r="G71" s="228"/>
      <c r="H71" s="213"/>
      <c r="I71" s="213"/>
      <c r="J71" s="229"/>
      <c r="K71" s="213"/>
      <c r="L71" s="213"/>
      <c r="M71" s="213"/>
      <c r="N71" s="213"/>
      <c r="O71" s="233"/>
      <c r="P71" s="1227"/>
      <c r="Q71" s="234">
        <f>+John!H12</f>
        <v>6443</v>
      </c>
      <c r="R71" s="234">
        <f>+John!F12</f>
        <v>6214</v>
      </c>
      <c r="S71" s="202">
        <f t="shared" si="47"/>
        <v>229</v>
      </c>
      <c r="T71" s="203">
        <f t="shared" si="48"/>
        <v>3.6852269069842292E-2</v>
      </c>
      <c r="V71" s="201">
        <v>4131.22</v>
      </c>
      <c r="W71" s="201">
        <v>4142.6400000000003</v>
      </c>
      <c r="X71" s="203">
        <f t="shared" si="49"/>
        <v>-2.7566962130429079E-3</v>
      </c>
      <c r="Y71" s="1030"/>
    </row>
    <row r="72" spans="1:26" ht="13.5" customHeight="1" outlineLevel="2" x14ac:dyDescent="0.35">
      <c r="C72" s="1024" t="s">
        <v>126</v>
      </c>
      <c r="D72" s="1066"/>
      <c r="E72" s="213"/>
      <c r="F72" s="235"/>
      <c r="G72" s="213"/>
      <c r="H72" s="236"/>
      <c r="I72" s="213"/>
      <c r="J72" s="213"/>
      <c r="K72" s="213"/>
      <c r="L72" s="213"/>
      <c r="M72" s="213"/>
      <c r="N72" s="213"/>
      <c r="O72" s="237"/>
      <c r="P72" s="1228"/>
      <c r="Q72" s="234">
        <f>+John!H16</f>
        <v>9067</v>
      </c>
      <c r="R72" s="234">
        <f>+John!F16</f>
        <v>8744</v>
      </c>
      <c r="S72" s="202">
        <f>+Q72-R72</f>
        <v>323</v>
      </c>
      <c r="T72" s="203">
        <f t="shared" si="48"/>
        <v>3.6939615736505033E-2</v>
      </c>
      <c r="V72" s="201">
        <v>5491.84</v>
      </c>
      <c r="W72" s="218">
        <v>5829.36</v>
      </c>
      <c r="X72" s="203">
        <f t="shared" si="49"/>
        <v>-5.7900009606543353E-2</v>
      </c>
      <c r="Y72" s="1030"/>
      <c r="Z72" s="2"/>
    </row>
    <row r="73" spans="1:26" ht="13.5" customHeight="1" outlineLevel="2" x14ac:dyDescent="0.35">
      <c r="A73" s="40">
        <v>83</v>
      </c>
      <c r="C73" s="1024" t="s">
        <v>127</v>
      </c>
      <c r="D73" s="1066"/>
      <c r="E73" s="232"/>
      <c r="F73" s="238"/>
      <c r="G73" s="232"/>
      <c r="H73" s="238"/>
      <c r="I73" s="232"/>
      <c r="J73" s="238"/>
      <c r="K73" s="239"/>
      <c r="L73" s="213"/>
      <c r="M73" s="213"/>
      <c r="N73" s="213"/>
      <c r="O73" s="237"/>
      <c r="P73" s="1228"/>
      <c r="Q73" s="234">
        <f>+John!H23</f>
        <v>1545</v>
      </c>
      <c r="R73" s="234">
        <f>+John!F23</f>
        <v>1490</v>
      </c>
      <c r="S73" s="202">
        <f t="shared" si="47"/>
        <v>55</v>
      </c>
      <c r="T73" s="203">
        <f t="shared" si="48"/>
        <v>3.6912751677852351E-2</v>
      </c>
      <c r="V73" s="201">
        <v>274.56</v>
      </c>
      <c r="W73" s="218">
        <v>993.36</v>
      </c>
      <c r="X73" s="203">
        <f t="shared" si="49"/>
        <v>-0.72360473544334369</v>
      </c>
      <c r="Y73" s="1030"/>
    </row>
    <row r="74" spans="1:26" ht="13.5" customHeight="1" outlineLevel="2" x14ac:dyDescent="0.35">
      <c r="C74" s="1024" t="s">
        <v>98</v>
      </c>
      <c r="D74" s="1066"/>
      <c r="E74" s="213"/>
      <c r="F74" s="213"/>
      <c r="G74" s="213"/>
      <c r="H74" s="213"/>
      <c r="I74" s="213"/>
      <c r="J74" s="213"/>
      <c r="K74" s="213"/>
      <c r="L74" s="213"/>
      <c r="M74" s="213"/>
      <c r="N74" s="213"/>
      <c r="O74" s="237"/>
      <c r="P74" s="1228"/>
      <c r="Q74" s="234">
        <f>+John!H28</f>
        <v>600</v>
      </c>
      <c r="R74" s="234">
        <f>+John!F28</f>
        <v>600</v>
      </c>
      <c r="S74" s="202">
        <f t="shared" si="47"/>
        <v>0</v>
      </c>
      <c r="T74" s="203">
        <f t="shared" si="48"/>
        <v>0</v>
      </c>
      <c r="V74" s="201">
        <v>571.17999999999995</v>
      </c>
      <c r="W74" s="201">
        <v>400</v>
      </c>
      <c r="X74" s="203">
        <f t="shared" si="49"/>
        <v>0.42794999999999989</v>
      </c>
      <c r="Y74" s="1030"/>
    </row>
    <row r="75" spans="1:26" ht="13.5" customHeight="1" outlineLevel="2" x14ac:dyDescent="0.35">
      <c r="C75" s="1024" t="s">
        <v>700</v>
      </c>
      <c r="D75" s="1066"/>
      <c r="E75" s="213"/>
      <c r="F75" s="214"/>
      <c r="G75" s="214"/>
      <c r="H75" s="214"/>
      <c r="I75" s="214"/>
      <c r="J75" s="214"/>
      <c r="K75" s="214"/>
      <c r="L75" s="214"/>
      <c r="M75" s="214"/>
      <c r="N75" s="214"/>
      <c r="O75" s="240"/>
      <c r="P75" s="1229"/>
      <c r="Q75" s="234">
        <f>+John!H9</f>
        <v>5058.99</v>
      </c>
      <c r="R75" s="234">
        <f>+John!F9</f>
        <v>5058.99</v>
      </c>
      <c r="S75" s="202">
        <f>+Q75-R75</f>
        <v>0</v>
      </c>
      <c r="T75" s="203">
        <f t="shared" si="48"/>
        <v>0</v>
      </c>
      <c r="V75" s="201">
        <v>3308.96</v>
      </c>
      <c r="W75" s="201">
        <v>3372.64</v>
      </c>
      <c r="X75" s="203">
        <f t="shared" si="49"/>
        <v>-1.8881351107737511E-2</v>
      </c>
      <c r="Y75" s="1421" t="s">
        <v>881</v>
      </c>
    </row>
    <row r="76" spans="1:26" ht="13.5" customHeight="1" outlineLevel="2" x14ac:dyDescent="0.35">
      <c r="A76" s="40">
        <v>85</v>
      </c>
      <c r="C76" s="1068" t="s">
        <v>34</v>
      </c>
      <c r="D76" s="1069"/>
      <c r="E76" s="216"/>
      <c r="F76" s="217"/>
      <c r="G76" s="217"/>
      <c r="H76" s="217"/>
      <c r="I76" s="217"/>
      <c r="J76" s="217"/>
      <c r="K76" s="217"/>
      <c r="L76" s="217"/>
      <c r="M76" s="217"/>
      <c r="N76" s="217"/>
      <c r="O76" s="241"/>
      <c r="P76" s="1230"/>
      <c r="Q76" s="242">
        <f>+John!H27</f>
        <v>1300</v>
      </c>
      <c r="R76" s="242">
        <f>+John!F27</f>
        <v>1300</v>
      </c>
      <c r="S76" s="206">
        <f t="shared" si="47"/>
        <v>0</v>
      </c>
      <c r="T76" s="207">
        <f t="shared" si="48"/>
        <v>0</v>
      </c>
      <c r="V76" s="205">
        <v>0</v>
      </c>
      <c r="W76" s="205">
        <v>866.64</v>
      </c>
      <c r="X76" s="207">
        <f t="shared" si="49"/>
        <v>-1</v>
      </c>
      <c r="Y76" s="1039"/>
    </row>
    <row r="77" spans="1:26" s="2" customFormat="1" ht="13.5" customHeight="1" outlineLevel="2" x14ac:dyDescent="0.35">
      <c r="A77" s="40">
        <v>86</v>
      </c>
      <c r="B77" s="1084" t="s">
        <v>111</v>
      </c>
      <c r="C77" s="1084"/>
      <c r="D77" s="1084"/>
      <c r="E77" s="61"/>
      <c r="F77" s="61"/>
      <c r="G77" s="61"/>
      <c r="H77" s="61"/>
      <c r="I77" s="61"/>
      <c r="J77" s="61"/>
      <c r="K77" s="61"/>
      <c r="L77" s="61"/>
      <c r="M77" s="61"/>
      <c r="N77" s="61"/>
      <c r="O77" s="22"/>
      <c r="P77" s="61"/>
      <c r="Q77" s="22">
        <f>SUM(Q69:Q76)</f>
        <v>104679.99</v>
      </c>
      <c r="R77" s="22">
        <f>SUM(R69:R76)</f>
        <v>101070.99</v>
      </c>
      <c r="S77" s="22">
        <f>SUM(S69:S76)</f>
        <v>3609</v>
      </c>
      <c r="T77" s="23">
        <f t="shared" si="48"/>
        <v>3.5707575437818509E-2</v>
      </c>
      <c r="U77" s="557"/>
      <c r="V77" s="22">
        <f>SUM(V69:V76)</f>
        <v>64467.42</v>
      </c>
      <c r="W77" s="22">
        <f>SUM(W69:W76)</f>
        <v>67380.639999999999</v>
      </c>
      <c r="X77" s="23">
        <f t="shared" si="49"/>
        <v>-4.3235267578342992E-2</v>
      </c>
      <c r="Y77" s="1045"/>
      <c r="Z77" s="1"/>
    </row>
    <row r="78" spans="1:26" ht="13.5" customHeight="1" outlineLevel="2" x14ac:dyDescent="0.35">
      <c r="A78" s="40">
        <v>80</v>
      </c>
      <c r="B78" s="1062" t="s">
        <v>691</v>
      </c>
      <c r="D78" s="1063" t="s">
        <v>696</v>
      </c>
      <c r="F78" s="366"/>
      <c r="G78" s="1470"/>
      <c r="H78" s="1470"/>
      <c r="S78" s="93"/>
      <c r="T78" s="36"/>
      <c r="V78" s="94"/>
      <c r="W78" s="33"/>
      <c r="X78" s="36"/>
    </row>
    <row r="79" spans="1:26" ht="13.5" customHeight="1" outlineLevel="2" x14ac:dyDescent="0.35">
      <c r="A79" s="40">
        <v>81</v>
      </c>
      <c r="C79" s="1073" t="s">
        <v>130</v>
      </c>
      <c r="D79" s="1074"/>
      <c r="E79" s="210"/>
      <c r="F79" s="221"/>
      <c r="G79" s="297"/>
      <c r="H79" s="222"/>
      <c r="I79" s="223"/>
      <c r="J79" s="210"/>
      <c r="K79" s="223"/>
      <c r="L79" s="224"/>
      <c r="M79" s="225"/>
      <c r="N79" s="225"/>
      <c r="O79" s="209"/>
      <c r="P79" s="210"/>
      <c r="Q79" s="1183">
        <f>+Ryan!F8</f>
        <v>77776</v>
      </c>
      <c r="R79" s="1183">
        <f>+Ryan!D8</f>
        <v>73310</v>
      </c>
      <c r="S79" s="198">
        <f t="shared" ref="S79:S86" si="50">+Q79-R79</f>
        <v>4466</v>
      </c>
      <c r="T79" s="199">
        <f t="shared" ref="T79:T87" si="51">IF(R79=0,"NA",(+Q79-R79)/R79)</f>
        <v>6.0919383440185514E-2</v>
      </c>
      <c r="V79" s="197">
        <f>25740+23133.44</f>
        <v>48873.440000000002</v>
      </c>
      <c r="W79" s="197">
        <f>25273.36+23600</f>
        <v>48873.36</v>
      </c>
      <c r="X79" s="199">
        <f t="shared" ref="X79:X87" si="52">IF(W79=0,"NA",(+V79-W79)/W79)</f>
        <v>1.6368835701442714E-6</v>
      </c>
      <c r="Y79" s="1036"/>
    </row>
    <row r="80" spans="1:26" ht="13.5" customHeight="1" outlineLevel="2" x14ac:dyDescent="0.35">
      <c r="A80" s="40">
        <v>82</v>
      </c>
      <c r="C80" s="1024" t="s">
        <v>33</v>
      </c>
      <c r="D80" s="1066"/>
      <c r="E80" s="213"/>
      <c r="F80" s="227"/>
      <c r="G80" s="228"/>
      <c r="H80" s="229"/>
      <c r="I80" s="230"/>
      <c r="J80" s="213"/>
      <c r="K80" s="231"/>
      <c r="L80" s="213"/>
      <c r="M80" s="232"/>
      <c r="N80" s="232"/>
      <c r="O80" s="233"/>
      <c r="P80" s="1231"/>
      <c r="Q80" s="1183">
        <f>+Ryan!F26</f>
        <v>1500</v>
      </c>
      <c r="R80" s="1183">
        <f>+Ryan!D26</f>
        <v>1500</v>
      </c>
      <c r="S80" s="202">
        <f t="shared" si="50"/>
        <v>0</v>
      </c>
      <c r="T80" s="203">
        <f t="shared" si="51"/>
        <v>0</v>
      </c>
      <c r="V80" s="201">
        <v>0</v>
      </c>
      <c r="W80" s="201">
        <v>1000</v>
      </c>
      <c r="X80" s="203">
        <f t="shared" si="52"/>
        <v>-1</v>
      </c>
      <c r="Y80" s="1030"/>
    </row>
    <row r="81" spans="1:26" ht="13.5" customHeight="1" outlineLevel="2" x14ac:dyDescent="0.35">
      <c r="C81" s="1024" t="s">
        <v>230</v>
      </c>
      <c r="D81" s="1066"/>
      <c r="E81" s="213"/>
      <c r="F81" s="227"/>
      <c r="G81" s="228"/>
      <c r="H81" s="213"/>
      <c r="I81" s="213"/>
      <c r="J81" s="229"/>
      <c r="K81" s="213"/>
      <c r="L81" s="213"/>
      <c r="M81" s="213"/>
      <c r="N81" s="213"/>
      <c r="O81" s="233"/>
      <c r="P81" s="1231"/>
      <c r="Q81" s="1183">
        <f>+Ryan!F12</f>
        <v>6227</v>
      </c>
      <c r="R81" s="1183">
        <f>+Ryan!D12</f>
        <v>5834</v>
      </c>
      <c r="S81" s="202">
        <f t="shared" si="50"/>
        <v>393</v>
      </c>
      <c r="T81" s="203">
        <f t="shared" si="51"/>
        <v>6.7363729859444638E-2</v>
      </c>
      <c r="V81" s="201">
        <v>3888.74</v>
      </c>
      <c r="W81" s="201">
        <v>3889.36</v>
      </c>
      <c r="X81" s="203">
        <f t="shared" si="52"/>
        <v>-1.5940926013543246E-4</v>
      </c>
      <c r="Y81" s="1030"/>
    </row>
    <row r="82" spans="1:26" ht="13.5" customHeight="1" outlineLevel="2" x14ac:dyDescent="0.35">
      <c r="C82" s="1024" t="s">
        <v>126</v>
      </c>
      <c r="D82" s="1066"/>
      <c r="E82" s="213"/>
      <c r="F82" s="235"/>
      <c r="G82" s="213"/>
      <c r="H82" s="236"/>
      <c r="I82" s="213"/>
      <c r="J82" s="213"/>
      <c r="K82" s="213"/>
      <c r="L82" s="213"/>
      <c r="M82" s="213"/>
      <c r="N82" s="213"/>
      <c r="O82" s="237"/>
      <c r="P82" s="1232"/>
      <c r="Q82" s="1183">
        <f>+Ryan!F16</f>
        <v>8763</v>
      </c>
      <c r="R82" s="1183">
        <f>+Ryan!D16</f>
        <v>8210</v>
      </c>
      <c r="S82" s="202">
        <f t="shared" si="50"/>
        <v>553</v>
      </c>
      <c r="T82" s="203">
        <f t="shared" si="51"/>
        <v>6.7356881851400735E-2</v>
      </c>
      <c r="V82" s="201">
        <v>5276.24</v>
      </c>
      <c r="W82" s="218">
        <v>5473.36</v>
      </c>
      <c r="X82" s="203">
        <f t="shared" si="52"/>
        <v>-3.6014440855342951E-2</v>
      </c>
      <c r="Y82" s="1030"/>
    </row>
    <row r="83" spans="1:26" ht="13.5" customHeight="1" outlineLevel="2" x14ac:dyDescent="0.35">
      <c r="A83" s="40">
        <v>83</v>
      </c>
      <c r="C83" s="1024" t="s">
        <v>127</v>
      </c>
      <c r="D83" s="1066"/>
      <c r="E83" s="232"/>
      <c r="F83" s="238"/>
      <c r="G83" s="232"/>
      <c r="H83" s="238"/>
      <c r="I83" s="232"/>
      <c r="J83" s="238"/>
      <c r="K83" s="239"/>
      <c r="L83" s="213"/>
      <c r="M83" s="213"/>
      <c r="N83" s="213"/>
      <c r="O83" s="237"/>
      <c r="P83" s="1232"/>
      <c r="Q83" s="1183">
        <f>+Ryan!F23</f>
        <v>1494</v>
      </c>
      <c r="R83" s="1183">
        <f>+Ryan!D23</f>
        <v>1399</v>
      </c>
      <c r="S83" s="202">
        <f t="shared" si="50"/>
        <v>95</v>
      </c>
      <c r="T83" s="203">
        <f t="shared" si="51"/>
        <v>6.7905646890636162E-2</v>
      </c>
      <c r="V83" s="201">
        <v>263.83999999999997</v>
      </c>
      <c r="W83" s="218">
        <v>932.64</v>
      </c>
      <c r="X83" s="203">
        <f t="shared" si="52"/>
        <v>-0.71710413449991417</v>
      </c>
      <c r="Y83" s="1030"/>
    </row>
    <row r="84" spans="1:26" ht="13.5" customHeight="1" outlineLevel="2" x14ac:dyDescent="0.35">
      <c r="C84" s="1024" t="s">
        <v>98</v>
      </c>
      <c r="D84" s="1066"/>
      <c r="E84" s="213"/>
      <c r="F84" s="213"/>
      <c r="G84" s="213"/>
      <c r="H84" s="213"/>
      <c r="I84" s="213"/>
      <c r="J84" s="213"/>
      <c r="K84" s="213"/>
      <c r="L84" s="213"/>
      <c r="M84" s="213"/>
      <c r="N84" s="213"/>
      <c r="O84" s="237"/>
      <c r="P84" s="1232"/>
      <c r="Q84" s="1183">
        <f>+Ryan!F28</f>
        <v>600</v>
      </c>
      <c r="R84" s="1183">
        <f>+Ryan!D28</f>
        <v>600</v>
      </c>
      <c r="S84" s="202">
        <f t="shared" si="50"/>
        <v>0</v>
      </c>
      <c r="T84" s="203">
        <f t="shared" si="51"/>
        <v>0</v>
      </c>
      <c r="V84" s="201">
        <v>168.8</v>
      </c>
      <c r="W84" s="201">
        <v>400</v>
      </c>
      <c r="X84" s="203">
        <f t="shared" si="52"/>
        <v>-0.57799999999999996</v>
      </c>
      <c r="Y84" s="1030"/>
    </row>
    <row r="85" spans="1:26" ht="13.5" customHeight="1" outlineLevel="2" x14ac:dyDescent="0.35">
      <c r="C85" s="1024" t="s">
        <v>700</v>
      </c>
      <c r="D85" s="1066"/>
      <c r="E85" s="213"/>
      <c r="F85" s="214"/>
      <c r="G85" s="214"/>
      <c r="H85" s="214"/>
      <c r="I85" s="214"/>
      <c r="J85" s="214"/>
      <c r="K85" s="214"/>
      <c r="L85" s="214"/>
      <c r="M85" s="214"/>
      <c r="N85" s="214"/>
      <c r="O85" s="240"/>
      <c r="P85" s="1229"/>
      <c r="Q85" s="212">
        <f>+Ryan!F9</f>
        <v>3628</v>
      </c>
      <c r="R85" s="237">
        <f>+Ryan!D9</f>
        <v>2954</v>
      </c>
      <c r="S85" s="202">
        <f>+Q85-R85</f>
        <v>674</v>
      </c>
      <c r="T85" s="203">
        <f t="shared" si="51"/>
        <v>0.22816519972918078</v>
      </c>
      <c r="V85" s="201">
        <v>2419.04</v>
      </c>
      <c r="W85" s="201">
        <v>1969.46</v>
      </c>
      <c r="X85" s="203">
        <f t="shared" si="52"/>
        <v>0.22827577102352925</v>
      </c>
      <c r="Y85" s="1421" t="s">
        <v>881</v>
      </c>
    </row>
    <row r="86" spans="1:26" ht="13.5" customHeight="1" outlineLevel="2" x14ac:dyDescent="0.35">
      <c r="A86" s="40">
        <v>85</v>
      </c>
      <c r="C86" s="1024" t="s">
        <v>34</v>
      </c>
      <c r="D86" s="1066"/>
      <c r="E86" s="213"/>
      <c r="F86" s="214"/>
      <c r="G86" s="214"/>
      <c r="H86" s="214"/>
      <c r="I86" s="214"/>
      <c r="J86" s="214"/>
      <c r="K86" s="214"/>
      <c r="L86" s="214"/>
      <c r="M86" s="214"/>
      <c r="N86" s="214"/>
      <c r="O86" s="243"/>
      <c r="P86" s="1233"/>
      <c r="Q86" s="1183">
        <f>+Ryan!F27</f>
        <v>1300</v>
      </c>
      <c r="R86" s="1183">
        <f>+Ryan!D27</f>
        <v>1300</v>
      </c>
      <c r="S86" s="202">
        <f t="shared" si="50"/>
        <v>0</v>
      </c>
      <c r="T86" s="203">
        <f t="shared" si="51"/>
        <v>0</v>
      </c>
      <c r="V86" s="201">
        <v>0</v>
      </c>
      <c r="W86" s="201">
        <v>866.64</v>
      </c>
      <c r="X86" s="203">
        <f t="shared" si="52"/>
        <v>-1</v>
      </c>
      <c r="Y86" s="1030"/>
    </row>
    <row r="87" spans="1:26" s="2" customFormat="1" ht="13.5" customHeight="1" outlineLevel="2" x14ac:dyDescent="0.35">
      <c r="A87" s="40">
        <v>86</v>
      </c>
      <c r="B87" s="1084" t="s">
        <v>228</v>
      </c>
      <c r="C87" s="1084"/>
      <c r="D87" s="1084"/>
      <c r="E87" s="61"/>
      <c r="F87" s="61"/>
      <c r="G87" s="61"/>
      <c r="H87" s="61"/>
      <c r="I87" s="61"/>
      <c r="J87" s="61"/>
      <c r="K87" s="61"/>
      <c r="L87" s="61"/>
      <c r="M87" s="61"/>
      <c r="N87" s="61"/>
      <c r="O87" s="22"/>
      <c r="P87" s="61"/>
      <c r="Q87" s="22">
        <f>SUM(Q79:Q86)</f>
        <v>101288</v>
      </c>
      <c r="R87" s="22">
        <f>SUM(R79:R86)</f>
        <v>95107</v>
      </c>
      <c r="S87" s="22">
        <f>SUM(S79:S86)</f>
        <v>6181</v>
      </c>
      <c r="T87" s="23">
        <f t="shared" si="51"/>
        <v>6.4989958678120435E-2</v>
      </c>
      <c r="U87" s="557"/>
      <c r="V87" s="22">
        <f>SUM(V79:V86)</f>
        <v>60890.1</v>
      </c>
      <c r="W87" s="22">
        <f>SUM(W79:W86)</f>
        <v>63404.82</v>
      </c>
      <c r="X87" s="23">
        <f t="shared" si="52"/>
        <v>-3.9661338049694031E-2</v>
      </c>
      <c r="Y87" s="1045"/>
      <c r="Z87" s="1"/>
    </row>
    <row r="88" spans="1:26" ht="13.5" customHeight="1" outlineLevel="1" x14ac:dyDescent="0.35">
      <c r="A88" s="40">
        <v>107</v>
      </c>
      <c r="B88" s="1062" t="s">
        <v>39</v>
      </c>
      <c r="F88" s="1012"/>
      <c r="G88" s="1013"/>
      <c r="T88" s="4"/>
    </row>
    <row r="89" spans="1:26" ht="13.5" customHeight="1" outlineLevel="1" x14ac:dyDescent="0.35">
      <c r="A89" s="40">
        <v>108</v>
      </c>
      <c r="C89" s="1073" t="s">
        <v>100</v>
      </c>
      <c r="D89" s="1074"/>
      <c r="E89" s="210"/>
      <c r="F89" s="211"/>
      <c r="G89" s="211"/>
      <c r="H89" s="211"/>
      <c r="I89" s="211"/>
      <c r="J89" s="211"/>
      <c r="K89" s="211"/>
      <c r="L89" s="211"/>
      <c r="M89" s="211"/>
      <c r="N89" s="211"/>
      <c r="O89" s="1278"/>
      <c r="P89" s="1233"/>
      <c r="Q89" s="226">
        <f>ROUND((+R89)*(1+F68),0)</f>
        <v>17818</v>
      </c>
      <c r="R89" s="220">
        <v>17818</v>
      </c>
      <c r="S89" s="338">
        <f t="shared" ref="S89:S92" si="53">+Q89-R89</f>
        <v>0</v>
      </c>
      <c r="T89" s="339">
        <f t="shared" ref="T89:T94" si="54">IF(R89=0,"NA",(+Q89-R89)/R89)</f>
        <v>0</v>
      </c>
      <c r="V89" s="337">
        <v>11878.72</v>
      </c>
      <c r="W89" s="337">
        <v>11878.64</v>
      </c>
      <c r="X89" s="339">
        <f t="shared" ref="X89:X94" si="55">IF(W89=0,"NA",(+V89-W89)/W89)</f>
        <v>6.7347777186552708E-6</v>
      </c>
      <c r="Y89" s="1029"/>
      <c r="Z89" s="2"/>
    </row>
    <row r="90" spans="1:26" ht="13.5" customHeight="1" outlineLevel="1" x14ac:dyDescent="0.35">
      <c r="C90" s="1064" t="s">
        <v>170</v>
      </c>
      <c r="D90" s="1065"/>
      <c r="E90" s="335"/>
      <c r="F90" s="336"/>
      <c r="G90" s="336"/>
      <c r="H90" s="336"/>
      <c r="I90" s="336"/>
      <c r="J90" s="336"/>
      <c r="K90" s="336"/>
      <c r="L90" s="336"/>
      <c r="M90" s="336"/>
      <c r="N90" s="336"/>
      <c r="O90" s="706"/>
      <c r="P90" s="1234"/>
      <c r="Q90" s="707">
        <f>ROUND((+R90)*(1+0.03),0)</f>
        <v>3566</v>
      </c>
      <c r="R90" s="340">
        <v>3462</v>
      </c>
      <c r="S90" s="206">
        <f>+Q90-R90</f>
        <v>104</v>
      </c>
      <c r="T90" s="207">
        <f>IF(R90=0,"NA",(+Q90-R90)/R90)</f>
        <v>3.0040439052570769E-2</v>
      </c>
      <c r="V90" s="205">
        <v>2299.58</v>
      </c>
      <c r="W90" s="205">
        <v>2308</v>
      </c>
      <c r="X90" s="207">
        <f>IF(W90=0,"NA",(+V90-W90)/W90)</f>
        <v>-3.6481802426343471E-3</v>
      </c>
      <c r="Y90" s="1039"/>
    </row>
    <row r="91" spans="1:26" ht="13.5" customHeight="1" outlineLevel="1" x14ac:dyDescent="0.35">
      <c r="A91" s="40">
        <v>109</v>
      </c>
      <c r="C91" s="1024" t="s">
        <v>40</v>
      </c>
      <c r="D91" s="1066"/>
      <c r="E91" s="213"/>
      <c r="F91" s="214"/>
      <c r="G91" s="214"/>
      <c r="H91" s="214"/>
      <c r="I91" s="214"/>
      <c r="J91" s="214"/>
      <c r="K91" s="214"/>
      <c r="L91" s="214"/>
      <c r="M91" s="214"/>
      <c r="N91" s="214"/>
      <c r="O91" s="243"/>
      <c r="P91" s="1235"/>
      <c r="Q91" s="201">
        <v>200</v>
      </c>
      <c r="R91" s="201">
        <v>200</v>
      </c>
      <c r="S91" s="202">
        <f t="shared" si="53"/>
        <v>0</v>
      </c>
      <c r="T91" s="203">
        <f t="shared" si="54"/>
        <v>0</v>
      </c>
      <c r="V91" s="201">
        <v>0</v>
      </c>
      <c r="W91" s="201">
        <v>133.36000000000001</v>
      </c>
      <c r="X91" s="203">
        <f t="shared" si="55"/>
        <v>-1</v>
      </c>
      <c r="Y91" s="1030"/>
    </row>
    <row r="92" spans="1:26" ht="13.5" customHeight="1" outlineLevel="1" x14ac:dyDescent="0.35">
      <c r="A92" s="40">
        <v>110</v>
      </c>
      <c r="C92" s="1024" t="s">
        <v>41</v>
      </c>
      <c r="D92" s="1066"/>
      <c r="E92" s="213"/>
      <c r="F92" s="214"/>
      <c r="G92" s="214"/>
      <c r="H92" s="214"/>
      <c r="I92" s="214"/>
      <c r="J92" s="214"/>
      <c r="K92" s="214"/>
      <c r="L92" s="214"/>
      <c r="M92" s="214"/>
      <c r="N92" s="214"/>
      <c r="O92" s="243"/>
      <c r="P92" s="1235"/>
      <c r="Q92" s="234">
        <f>+'Band and Other Music'!I30</f>
        <v>19592</v>
      </c>
      <c r="R92" s="198">
        <f>+'Band and Other Music'!H30</f>
        <v>19592</v>
      </c>
      <c r="S92" s="202">
        <f t="shared" si="53"/>
        <v>0</v>
      </c>
      <c r="T92" s="203">
        <f t="shared" si="54"/>
        <v>0</v>
      </c>
      <c r="V92" s="201">
        <v>13268</v>
      </c>
      <c r="W92" s="201">
        <v>13061.36</v>
      </c>
      <c r="X92" s="203">
        <f t="shared" si="55"/>
        <v>1.5820710860124782E-2</v>
      </c>
      <c r="Y92" s="1030" t="s">
        <v>839</v>
      </c>
    </row>
    <row r="93" spans="1:26" ht="13.5" customHeight="1" outlineLevel="1" x14ac:dyDescent="0.35">
      <c r="A93" s="40">
        <v>110</v>
      </c>
      <c r="C93" s="1469" t="s">
        <v>484</v>
      </c>
      <c r="D93" s="1469"/>
      <c r="E93" s="213"/>
      <c r="F93" s="960"/>
      <c r="G93" s="214"/>
      <c r="H93" s="214"/>
      <c r="I93" s="214"/>
      <c r="J93" s="214"/>
      <c r="K93" s="214"/>
      <c r="L93" s="214"/>
      <c r="M93" s="214"/>
      <c r="N93" s="214"/>
      <c r="O93" s="243"/>
      <c r="P93" s="1235"/>
      <c r="Q93" s="234">
        <f>+'Band and Other Music'!I56</f>
        <v>4349</v>
      </c>
      <c r="R93" s="198">
        <f>+'Band and Other Music'!H56</f>
        <v>4349</v>
      </c>
      <c r="S93" s="202">
        <f>+Q93-R93</f>
        <v>0</v>
      </c>
      <c r="T93" s="203">
        <f>IF(R93=0,"NA",(+Q93-R93)/R93)</f>
        <v>0</v>
      </c>
      <c r="V93" s="1394">
        <v>3290</v>
      </c>
      <c r="W93" s="1394">
        <v>2899.36</v>
      </c>
      <c r="X93" s="203">
        <f>IF(W93=0,"NA",(+V93-W93)/W93)</f>
        <v>0.13473318249544722</v>
      </c>
      <c r="Y93" s="1030" t="s">
        <v>840</v>
      </c>
    </row>
    <row r="94" spans="1:26" s="2" customFormat="1" ht="13.5" customHeight="1" outlineLevel="1" thickBot="1" x14ac:dyDescent="0.4">
      <c r="A94" s="40">
        <v>114</v>
      </c>
      <c r="B94" s="1084" t="s">
        <v>44</v>
      </c>
      <c r="C94" s="1084"/>
      <c r="D94" s="1084"/>
      <c r="E94" s="66" t="s">
        <v>116</v>
      </c>
      <c r="F94" s="67" t="s">
        <v>117</v>
      </c>
      <c r="G94" s="67" t="s">
        <v>120</v>
      </c>
      <c r="H94" s="67" t="s">
        <v>115</v>
      </c>
      <c r="I94" s="67" t="s">
        <v>116</v>
      </c>
      <c r="J94" s="67" t="s">
        <v>117</v>
      </c>
      <c r="K94" s="67" t="s">
        <v>120</v>
      </c>
      <c r="L94" s="67" t="s">
        <v>115</v>
      </c>
      <c r="M94" s="68" t="s">
        <v>117</v>
      </c>
      <c r="N94" s="68" t="s">
        <v>117</v>
      </c>
      <c r="O94" s="68" t="s">
        <v>117</v>
      </c>
      <c r="P94" s="332"/>
      <c r="Q94" s="22">
        <f>SUM(Q89:Q93)</f>
        <v>45525</v>
      </c>
      <c r="R94" s="22">
        <f>SUM(R89:R93)</f>
        <v>45421</v>
      </c>
      <c r="S94" s="22">
        <f>SUM(S89:S93)</f>
        <v>104</v>
      </c>
      <c r="T94" s="23">
        <f t="shared" si="54"/>
        <v>2.2896897910658067E-3</v>
      </c>
      <c r="U94" s="557"/>
      <c r="V94" s="22">
        <f>SUM(V89:V93)</f>
        <v>30736.3</v>
      </c>
      <c r="W94" s="22">
        <f>SUM(W89:W93)</f>
        <v>30280.720000000001</v>
      </c>
      <c r="X94" s="23">
        <f t="shared" si="55"/>
        <v>1.5045216890483387E-2</v>
      </c>
      <c r="Y94" s="1045"/>
      <c r="Z94" s="1"/>
    </row>
    <row r="95" spans="1:26" ht="13.5" customHeight="1" outlineLevel="1" x14ac:dyDescent="0.35">
      <c r="A95" s="40">
        <v>116</v>
      </c>
      <c r="B95" s="1062" t="s">
        <v>45</v>
      </c>
      <c r="O95" s="24"/>
      <c r="P95" s="1013"/>
      <c r="Q95" s="868"/>
      <c r="R95" s="24"/>
      <c r="S95" s="24"/>
      <c r="T95" s="4"/>
    </row>
    <row r="96" spans="1:26" ht="13.5" customHeight="1" outlineLevel="1" x14ac:dyDescent="0.35">
      <c r="C96" s="1064" t="s">
        <v>246</v>
      </c>
      <c r="D96" s="1065"/>
      <c r="E96" s="704">
        <v>40</v>
      </c>
      <c r="F96" s="1015">
        <f>ROUNDUP(+J96*(1+F$67),1)</f>
        <v>24.6</v>
      </c>
      <c r="G96" s="704">
        <v>52</v>
      </c>
      <c r="H96" s="891">
        <f>+IF(J96=0,"NA",ROUND((F96-J96)/J96,3))</f>
        <v>3.4000000000000002E-2</v>
      </c>
      <c r="I96" s="704">
        <v>40</v>
      </c>
      <c r="J96" s="705">
        <v>23.8</v>
      </c>
      <c r="K96" s="704">
        <v>52</v>
      </c>
      <c r="L96" s="339">
        <f>IF(M96=0,0,(+K96-M96)/M96)</f>
        <v>1.251082251082251</v>
      </c>
      <c r="M96" s="705">
        <v>23.1</v>
      </c>
      <c r="N96" s="705">
        <v>22</v>
      </c>
      <c r="O96" s="705">
        <v>19.93</v>
      </c>
      <c r="P96" s="705"/>
      <c r="Q96" s="707">
        <f>ROUND(E96*F96*G96,0)</f>
        <v>51168</v>
      </c>
      <c r="R96" s="707">
        <f>ROUND(I96*J96*K96,0)</f>
        <v>49504</v>
      </c>
      <c r="S96" s="338">
        <f>+Q96-R96</f>
        <v>1664</v>
      </c>
      <c r="T96" s="339">
        <f>IF(R96=0,"NA",(+Q96-R96)/R96)</f>
        <v>3.3613445378151259E-2</v>
      </c>
      <c r="V96" s="337">
        <v>32326</v>
      </c>
      <c r="W96" s="337">
        <v>33002.639999999999</v>
      </c>
      <c r="X96" s="339">
        <f>IF(W96=0,"NA",(+V96-W96)/W96)</f>
        <v>-2.0502602216065122E-2</v>
      </c>
      <c r="Y96" s="1029"/>
      <c r="Z96" s="333"/>
    </row>
    <row r="97" spans="1:26" ht="13.5" customHeight="1" outlineLevel="1" x14ac:dyDescent="0.35">
      <c r="A97" s="40">
        <v>118</v>
      </c>
      <c r="C97" s="1024" t="s">
        <v>47</v>
      </c>
      <c r="D97" s="1066"/>
      <c r="E97" s="248"/>
      <c r="F97" s="1016"/>
      <c r="G97" s="244"/>
      <c r="H97" s="246"/>
      <c r="I97" s="244"/>
      <c r="J97" s="245"/>
      <c r="K97" s="244"/>
      <c r="L97" s="203"/>
      <c r="M97" s="245"/>
      <c r="N97" s="245"/>
      <c r="O97" s="245"/>
      <c r="P97" s="245"/>
      <c r="Q97" s="234">
        <f>ROUND((E98*F98*G98)+(E99*F99*G99)+(E100*F100*G100),0)</f>
        <v>39260</v>
      </c>
      <c r="R97" s="234">
        <f>ROUND((I98*J98*K98)+(I99*J99*K99)+(I100*J100*K100),0)</f>
        <v>38064</v>
      </c>
      <c r="S97" s="202">
        <f t="shared" ref="S97:S107" si="56">+Q97-R97</f>
        <v>1196</v>
      </c>
      <c r="T97" s="203">
        <f t="shared" ref="T97:T109" si="57">IF(R97=0,"NA",(+Q97-R97)/R97)</f>
        <v>3.1420765027322405E-2</v>
      </c>
      <c r="V97" s="218">
        <v>25217.55</v>
      </c>
      <c r="W97" s="201">
        <v>25376</v>
      </c>
      <c r="X97" s="203">
        <f t="shared" ref="X97:X109" si="58">IF(W97=0,"NA",(+V97-W97)/W97)</f>
        <v>-6.2440889029004073E-3</v>
      </c>
      <c r="Y97" s="1030" t="s">
        <v>703</v>
      </c>
    </row>
    <row r="98" spans="1:26" ht="13.5" hidden="1" customHeight="1" outlineLevel="1" x14ac:dyDescent="0.35">
      <c r="C98" s="1024"/>
      <c r="D98" s="1066" t="s">
        <v>701</v>
      </c>
      <c r="E98" s="248">
        <v>25</v>
      </c>
      <c r="F98" s="1016">
        <f>ROUNDUP(+J98*(1+F$67),1)</f>
        <v>19.400000000000002</v>
      </c>
      <c r="G98" s="244">
        <v>52</v>
      </c>
      <c r="H98" s="246">
        <f>+IF(J98=0,"NA",ROUND((F98-J98)/J98,3))</f>
        <v>3.2000000000000001E-2</v>
      </c>
      <c r="I98" s="244">
        <v>25</v>
      </c>
      <c r="J98" s="245">
        <v>18.8</v>
      </c>
      <c r="K98" s="244">
        <v>52</v>
      </c>
      <c r="L98" s="203">
        <f>IF(M98=0,0,(+J98-M98)/M98)</f>
        <v>3.2967032967033044E-2</v>
      </c>
      <c r="M98" s="245">
        <v>18.2</v>
      </c>
      <c r="N98" s="245">
        <v>17.649999999999999</v>
      </c>
      <c r="O98" s="245">
        <v>16</v>
      </c>
      <c r="P98" s="245"/>
      <c r="Q98" s="234"/>
      <c r="R98" s="234"/>
      <c r="S98" s="202"/>
      <c r="T98" s="203"/>
      <c r="V98" s="218"/>
      <c r="W98" s="201"/>
      <c r="X98" s="203"/>
      <c r="Y98" s="1030"/>
    </row>
    <row r="99" spans="1:26" ht="13.5" hidden="1" customHeight="1" outlineLevel="2" x14ac:dyDescent="0.35">
      <c r="C99" s="1024"/>
      <c r="D99" s="1066" t="s">
        <v>820</v>
      </c>
      <c r="E99" s="248"/>
      <c r="F99" s="1016">
        <f>ROUNDUP(+J99*(1+F$67),1)</f>
        <v>16</v>
      </c>
      <c r="G99" s="244">
        <v>52</v>
      </c>
      <c r="H99" s="246">
        <f>+IF(J99=0,"NA",ROUND((F99-J99)/J99,3))</f>
        <v>3.2000000000000001E-2</v>
      </c>
      <c r="I99" s="244"/>
      <c r="J99" s="245">
        <v>15.5</v>
      </c>
      <c r="K99" s="244">
        <v>52</v>
      </c>
      <c r="L99" s="203">
        <f>IF(M99=0,0,(+J99-M99)/M99)</f>
        <v>3.3333333333333333E-2</v>
      </c>
      <c r="M99" s="245">
        <v>15</v>
      </c>
      <c r="N99" s="245"/>
      <c r="O99" s="245"/>
      <c r="P99" s="245"/>
      <c r="Q99" s="234"/>
      <c r="R99" s="234"/>
      <c r="S99" s="202"/>
      <c r="T99" s="203"/>
      <c r="V99" s="218"/>
      <c r="W99" s="201"/>
      <c r="X99" s="203"/>
      <c r="Y99" s="1030"/>
    </row>
    <row r="100" spans="1:26" ht="13.5" hidden="1" customHeight="1" outlineLevel="3" x14ac:dyDescent="0.35">
      <c r="C100" s="1024"/>
      <c r="D100" s="1066" t="s">
        <v>473</v>
      </c>
      <c r="E100" s="248">
        <v>20</v>
      </c>
      <c r="F100" s="1016">
        <f>ROUNDUP(+J100*(1+F$67),1)</f>
        <v>13.5</v>
      </c>
      <c r="G100" s="244">
        <v>52</v>
      </c>
      <c r="H100" s="246">
        <f>+IF(J100=0,"NA",ROUND((F100-J100)/J100,3))</f>
        <v>3.1E-2</v>
      </c>
      <c r="I100" s="244">
        <v>20</v>
      </c>
      <c r="J100" s="245">
        <v>13.1</v>
      </c>
      <c r="K100" s="244">
        <v>52</v>
      </c>
      <c r="L100" s="203">
        <f>IF(M100=0,0,(+J100-M100)/M100)</f>
        <v>3.1496062992126012E-2</v>
      </c>
      <c r="M100" s="245">
        <v>12.7</v>
      </c>
      <c r="N100" s="245">
        <v>12.25</v>
      </c>
      <c r="O100" s="245">
        <v>11.86</v>
      </c>
      <c r="P100" s="245"/>
      <c r="Q100" s="234"/>
      <c r="R100" s="234"/>
      <c r="S100" s="202"/>
      <c r="T100" s="203"/>
      <c r="V100" s="218"/>
      <c r="W100" s="201"/>
      <c r="X100" s="203"/>
      <c r="Y100" s="1030"/>
    </row>
    <row r="101" spans="1:26" ht="13.5" customHeight="1" outlineLevel="3" x14ac:dyDescent="0.35">
      <c r="C101" s="1073" t="s">
        <v>844</v>
      </c>
      <c r="D101" s="1074"/>
      <c r="E101" s="1398">
        <v>1</v>
      </c>
      <c r="F101" s="1399">
        <v>25</v>
      </c>
      <c r="G101" s="1400">
        <v>52</v>
      </c>
      <c r="H101" s="1401" t="str">
        <f>+IF(J101=0,"NA",ROUND((F101-J101)/J101,3))</f>
        <v>NA</v>
      </c>
      <c r="I101" s="1400"/>
      <c r="J101" s="1399"/>
      <c r="K101" s="1400"/>
      <c r="L101" s="199">
        <f>IF(M101=0,0,(+K101-M101)/M101)</f>
        <v>0</v>
      </c>
      <c r="M101" s="1399"/>
      <c r="N101" s="1399"/>
      <c r="O101" s="1399"/>
      <c r="P101" s="1399"/>
      <c r="Q101" s="226">
        <f>ROUND(E101*F101*G101,0)</f>
        <v>1300</v>
      </c>
      <c r="R101" s="226">
        <f>ROUND(I101*J101*K101,0)</f>
        <v>0</v>
      </c>
      <c r="S101" s="198">
        <f>+Q101-R101</f>
        <v>1300</v>
      </c>
      <c r="T101" s="199" t="str">
        <f>IF(R101=0,"NA",(+Q101-R101)/R101)</f>
        <v>NA</v>
      </c>
      <c r="U101" s="200"/>
      <c r="V101" s="197">
        <v>0</v>
      </c>
      <c r="W101" s="197">
        <v>0</v>
      </c>
      <c r="X101" s="199" t="str">
        <f>IF(W101=0,"NA",(+V101-W101)/W101)</f>
        <v>NA</v>
      </c>
      <c r="Y101" s="1036" t="s">
        <v>851</v>
      </c>
      <c r="Z101" s="333"/>
    </row>
    <row r="102" spans="1:26" ht="13.5" customHeight="1" outlineLevel="3" x14ac:dyDescent="0.35">
      <c r="C102" s="1064" t="s">
        <v>845</v>
      </c>
      <c r="D102" s="1065"/>
      <c r="E102" s="704">
        <v>20</v>
      </c>
      <c r="F102" s="705">
        <v>20</v>
      </c>
      <c r="G102" s="704">
        <v>52</v>
      </c>
      <c r="H102" s="891" t="str">
        <f>+IF(J102=0,"NA",ROUND((F102-J102)/J102,3))</f>
        <v>NA</v>
      </c>
      <c r="I102" s="704"/>
      <c r="J102" s="705"/>
      <c r="K102" s="704"/>
      <c r="L102" s="339">
        <f>IF(M102=0,0,(+K102-M102)/M102)</f>
        <v>0</v>
      </c>
      <c r="M102" s="705"/>
      <c r="N102" s="705"/>
      <c r="O102" s="705"/>
      <c r="P102" s="705"/>
      <c r="Q102" s="707">
        <f>ROUND(E102*F102*G102,0)</f>
        <v>20800</v>
      </c>
      <c r="R102" s="707">
        <f>ROUND(I102*J102*K102,0)</f>
        <v>0</v>
      </c>
      <c r="S102" s="338">
        <f>+Q102-R102</f>
        <v>20800</v>
      </c>
      <c r="T102" s="339" t="str">
        <f>IF(R102=0,"NA",(+Q102-R102)/R102)</f>
        <v>NA</v>
      </c>
      <c r="V102" s="337">
        <v>0</v>
      </c>
      <c r="W102" s="337">
        <v>0</v>
      </c>
      <c r="X102" s="339" t="str">
        <f>IF(W102=0,"NA",(+V102-W102)/W102)</f>
        <v>NA</v>
      </c>
      <c r="Y102" s="1029" t="s">
        <v>852</v>
      </c>
      <c r="Z102" s="333"/>
    </row>
    <row r="103" spans="1:26" ht="13.5" customHeight="1" x14ac:dyDescent="0.35">
      <c r="A103" s="40">
        <v>119</v>
      </c>
      <c r="C103" s="1024" t="s">
        <v>48</v>
      </c>
      <c r="D103" s="1066"/>
      <c r="E103" s="213"/>
      <c r="F103" s="214"/>
      <c r="G103" s="214"/>
      <c r="H103" s="214"/>
      <c r="I103" s="214"/>
      <c r="J103" s="214"/>
      <c r="K103" s="214"/>
      <c r="L103" s="214"/>
      <c r="M103" s="214"/>
      <c r="N103" s="214"/>
      <c r="O103" s="204"/>
      <c r="P103" s="214"/>
      <c r="Q103" s="218">
        <v>1000</v>
      </c>
      <c r="R103" s="201">
        <v>800</v>
      </c>
      <c r="S103" s="202">
        <f t="shared" si="56"/>
        <v>200</v>
      </c>
      <c r="T103" s="203">
        <f t="shared" si="57"/>
        <v>0.25</v>
      </c>
      <c r="V103" s="218">
        <v>0</v>
      </c>
      <c r="W103" s="201">
        <v>533.36</v>
      </c>
      <c r="X103" s="203">
        <f t="shared" si="58"/>
        <v>-1</v>
      </c>
      <c r="Y103" s="1030" t="s">
        <v>624</v>
      </c>
    </row>
    <row r="104" spans="1:26" ht="13.5" customHeight="1" outlineLevel="1" x14ac:dyDescent="0.35">
      <c r="A104" s="40">
        <v>120</v>
      </c>
      <c r="C104" s="1024" t="s">
        <v>90</v>
      </c>
      <c r="D104" s="1066"/>
      <c r="E104" s="213"/>
      <c r="F104" s="960"/>
      <c r="G104" s="960"/>
      <c r="H104" s="214"/>
      <c r="I104" s="214"/>
      <c r="J104" s="214"/>
      <c r="K104" s="214"/>
      <c r="L104" s="214"/>
      <c r="M104" s="214"/>
      <c r="N104" s="214"/>
      <c r="O104" s="204"/>
      <c r="P104" s="214"/>
      <c r="Q104" s="218">
        <v>1000</v>
      </c>
      <c r="R104" s="201">
        <v>800</v>
      </c>
      <c r="S104" s="202">
        <f t="shared" si="56"/>
        <v>200</v>
      </c>
      <c r="T104" s="203">
        <f t="shared" si="57"/>
        <v>0.25</v>
      </c>
      <c r="V104" s="201">
        <v>0</v>
      </c>
      <c r="W104" s="201">
        <v>0</v>
      </c>
      <c r="X104" s="203" t="str">
        <f t="shared" si="58"/>
        <v>NA</v>
      </c>
      <c r="Y104" s="1030" t="s">
        <v>859</v>
      </c>
      <c r="Z104" s="2"/>
    </row>
    <row r="105" spans="1:26" ht="13.5" customHeight="1" outlineLevel="1" x14ac:dyDescent="0.35">
      <c r="A105" s="40">
        <v>123</v>
      </c>
      <c r="C105" s="1024" t="s">
        <v>49</v>
      </c>
      <c r="D105" s="1066"/>
      <c r="E105" s="250"/>
      <c r="F105" s="367"/>
      <c r="G105" s="250"/>
      <c r="H105" s="250"/>
      <c r="I105" s="250"/>
      <c r="J105" s="251"/>
      <c r="K105" s="252"/>
      <c r="L105" s="252"/>
      <c r="M105" s="253">
        <v>7.6499999999999999E-2</v>
      </c>
      <c r="N105" s="253"/>
      <c r="O105" s="204"/>
      <c r="P105" s="214"/>
      <c r="Q105" s="237">
        <f>ROUND((+Q94+Q96+Q97+Q107)*$M105,0)-24</f>
        <v>10418</v>
      </c>
      <c r="R105" s="237">
        <f>ROUND((+R94+R96+R97+R107)*$M105,0)-24</f>
        <v>10192</v>
      </c>
      <c r="S105" s="202">
        <f>+Q105-R105</f>
        <v>226</v>
      </c>
      <c r="T105" s="203">
        <f t="shared" si="57"/>
        <v>2.217425431711146E-2</v>
      </c>
      <c r="V105" s="218">
        <v>5042.7</v>
      </c>
      <c r="W105" s="218">
        <v>6794.64</v>
      </c>
      <c r="X105" s="203">
        <f t="shared" si="58"/>
        <v>-0.25784147504503557</v>
      </c>
      <c r="Y105" s="1030" t="s">
        <v>719</v>
      </c>
      <c r="Z105" s="43"/>
    </row>
    <row r="106" spans="1:26" ht="13.5" customHeight="1" outlineLevel="1" x14ac:dyDescent="0.35">
      <c r="A106" s="40">
        <v>124</v>
      </c>
      <c r="C106" s="1024" t="s">
        <v>50</v>
      </c>
      <c r="D106" s="1066"/>
      <c r="E106" s="213"/>
      <c r="F106" s="368"/>
      <c r="G106" s="368"/>
      <c r="H106" s="368"/>
      <c r="I106" s="214"/>
      <c r="J106" s="214"/>
      <c r="K106" s="214"/>
      <c r="L106" s="214"/>
      <c r="M106" s="214"/>
      <c r="N106" s="214"/>
      <c r="O106" s="204"/>
      <c r="P106" s="214"/>
      <c r="Q106" s="218">
        <f>ROUNDUP(845.5*5,0)</f>
        <v>4228</v>
      </c>
      <c r="R106" s="218">
        <f>ROUNDUP(845.5*5,0)</f>
        <v>4228</v>
      </c>
      <c r="S106" s="202">
        <f t="shared" si="56"/>
        <v>0</v>
      </c>
      <c r="T106" s="203">
        <f t="shared" si="57"/>
        <v>0</v>
      </c>
      <c r="V106" s="218">
        <v>1194.5</v>
      </c>
      <c r="W106" s="218">
        <v>2114</v>
      </c>
      <c r="X106" s="203">
        <f t="shared" si="58"/>
        <v>-0.434957426679281</v>
      </c>
      <c r="Y106" s="1184"/>
      <c r="Z106" s="43"/>
    </row>
    <row r="107" spans="1:26" ht="13.5" customHeight="1" outlineLevel="1" x14ac:dyDescent="0.35">
      <c r="A107" s="40">
        <v>125</v>
      </c>
      <c r="C107" s="1024" t="s">
        <v>51</v>
      </c>
      <c r="D107" s="1066"/>
      <c r="Q107" s="50">
        <v>550</v>
      </c>
      <c r="R107" s="48">
        <v>550</v>
      </c>
      <c r="S107" s="35">
        <f t="shared" si="56"/>
        <v>0</v>
      </c>
      <c r="T107" s="3">
        <f t="shared" si="57"/>
        <v>0</v>
      </c>
      <c r="V107" s="50">
        <v>345.48</v>
      </c>
      <c r="W107" s="50">
        <v>366.64</v>
      </c>
      <c r="X107" s="3">
        <f t="shared" si="58"/>
        <v>-5.7713288239144581E-2</v>
      </c>
      <c r="Y107" s="1046" t="s">
        <v>860</v>
      </c>
    </row>
    <row r="108" spans="1:26" s="2" customFormat="1" ht="13.5" customHeight="1" outlineLevel="1" x14ac:dyDescent="0.35">
      <c r="A108" s="40">
        <v>127</v>
      </c>
      <c r="B108" s="1084" t="s">
        <v>46</v>
      </c>
      <c r="C108" s="1084"/>
      <c r="D108" s="1084"/>
      <c r="E108" s="61"/>
      <c r="F108" s="61"/>
      <c r="G108" s="61"/>
      <c r="H108" s="61"/>
      <c r="I108" s="61"/>
      <c r="J108" s="61"/>
      <c r="K108" s="61"/>
      <c r="L108" s="61"/>
      <c r="M108" s="61"/>
      <c r="N108" s="61"/>
      <c r="O108" s="22"/>
      <c r="P108" s="61"/>
      <c r="Q108" s="22">
        <f>SUM(Q96:Q107)</f>
        <v>129724</v>
      </c>
      <c r="R108" s="22">
        <f>SUM(R96:R107)</f>
        <v>104138</v>
      </c>
      <c r="S108" s="22">
        <f>SUM(S96:S107)</f>
        <v>25586</v>
      </c>
      <c r="T108" s="23">
        <f t="shared" si="57"/>
        <v>0.24569321477270545</v>
      </c>
      <c r="U108" s="557"/>
      <c r="V108" s="22">
        <f>SUM(V96:V107)</f>
        <v>64126.23</v>
      </c>
      <c r="W108" s="22">
        <f>SUM(W96:W107)</f>
        <v>68187.28</v>
      </c>
      <c r="X108" s="23">
        <f t="shared" si="58"/>
        <v>-5.9557295730229977E-2</v>
      </c>
      <c r="Y108" s="1045"/>
      <c r="Z108" s="24"/>
    </row>
    <row r="109" spans="1:26" ht="17" customHeight="1" x14ac:dyDescent="0.35">
      <c r="A109" s="40">
        <v>128</v>
      </c>
      <c r="B109" s="1084" t="s">
        <v>52</v>
      </c>
      <c r="C109" s="1084"/>
      <c r="D109" s="1084"/>
      <c r="E109" s="61"/>
      <c r="F109" s="23"/>
      <c r="G109" s="23"/>
      <c r="H109" s="23"/>
      <c r="I109" s="23"/>
      <c r="J109" s="23"/>
      <c r="K109" s="23"/>
      <c r="L109" s="23"/>
      <c r="M109" s="23"/>
      <c r="N109" s="23"/>
      <c r="O109" s="32"/>
      <c r="P109" s="23"/>
      <c r="Q109" s="22">
        <f>+Q77+Q87+Q94+Q108</f>
        <v>381216.99</v>
      </c>
      <c r="R109" s="22">
        <f>+R77+R87+R94+R108</f>
        <v>345736.99</v>
      </c>
      <c r="S109" s="22">
        <f>+S77+S87+S94+S108</f>
        <v>35480</v>
      </c>
      <c r="T109" s="23">
        <f t="shared" si="57"/>
        <v>0.1026213596641771</v>
      </c>
      <c r="V109" s="22">
        <f>+V77+V87+V94+V108</f>
        <v>220220.05</v>
      </c>
      <c r="W109" s="22">
        <f>+W77+W87+W94+W108</f>
        <v>229253.46</v>
      </c>
      <c r="X109" s="23">
        <f t="shared" si="58"/>
        <v>-3.9403592861804587E-2</v>
      </c>
      <c r="Y109" s="1045"/>
      <c r="Z109" s="24"/>
    </row>
    <row r="110" spans="1:26" ht="17" customHeight="1" x14ac:dyDescent="0.35">
      <c r="A110" s="40">
        <v>130</v>
      </c>
      <c r="B110" s="1072" t="s">
        <v>53</v>
      </c>
      <c r="T110" s="4"/>
      <c r="Y110" s="1340"/>
    </row>
    <row r="111" spans="1:26" ht="13.5" customHeight="1" x14ac:dyDescent="0.35">
      <c r="A111" s="40">
        <v>131</v>
      </c>
      <c r="B111" s="1062" t="s">
        <v>54</v>
      </c>
      <c r="E111" s="961"/>
      <c r="F111" s="962"/>
      <c r="T111" s="4"/>
    </row>
    <row r="112" spans="1:26" ht="13.5" customHeight="1" x14ac:dyDescent="0.35">
      <c r="A112" s="40">
        <v>132</v>
      </c>
      <c r="C112" s="1064" t="s">
        <v>56</v>
      </c>
      <c r="D112" s="1065"/>
      <c r="E112" s="335"/>
      <c r="F112" s="336"/>
      <c r="G112" s="336"/>
      <c r="H112" s="336"/>
      <c r="I112" s="336"/>
      <c r="J112" s="336"/>
      <c r="K112" s="336"/>
      <c r="L112" s="336"/>
      <c r="M112" s="336"/>
      <c r="N112" s="336"/>
      <c r="O112" s="333"/>
      <c r="P112" s="336" t="s">
        <v>740</v>
      </c>
      <c r="Q112" s="340">
        <v>13000</v>
      </c>
      <c r="R112" s="340">
        <v>13000</v>
      </c>
      <c r="S112" s="338">
        <f t="shared" ref="S112:S117" si="59">+Q112-R112</f>
        <v>0</v>
      </c>
      <c r="T112" s="339">
        <f t="shared" ref="T112:T118" si="60">IF(R112=0,"NA",(+Q112-R112)/R112)</f>
        <v>0</v>
      </c>
      <c r="V112" s="337">
        <v>8446.64</v>
      </c>
      <c r="W112" s="340">
        <v>8666.64</v>
      </c>
      <c r="X112" s="339">
        <f t="shared" ref="X112:X118" si="61">IF(W112=0,"NA",(+V112-W112)/W112)</f>
        <v>-2.5384693491364591E-2</v>
      </c>
      <c r="Y112" s="1029"/>
    </row>
    <row r="113" spans="1:26" ht="13.5" customHeight="1" x14ac:dyDescent="0.35">
      <c r="A113" s="40">
        <v>133</v>
      </c>
      <c r="C113" s="1024" t="s">
        <v>57</v>
      </c>
      <c r="D113" s="1066"/>
      <c r="E113" s="212"/>
      <c r="F113" s="212"/>
      <c r="G113" s="212"/>
      <c r="H113" s="212"/>
      <c r="I113" s="212"/>
      <c r="J113" s="212"/>
      <c r="K113" s="212"/>
      <c r="L113" s="212"/>
      <c r="M113" s="212"/>
      <c r="N113" s="212"/>
      <c r="O113" s="212"/>
      <c r="P113" s="213" t="s">
        <v>740</v>
      </c>
      <c r="Q113" s="218">
        <v>8000</v>
      </c>
      <c r="R113" s="218">
        <v>9000</v>
      </c>
      <c r="S113" s="202">
        <f t="shared" si="59"/>
        <v>-1000</v>
      </c>
      <c r="T113" s="203">
        <f t="shared" si="60"/>
        <v>-0.1111111111111111</v>
      </c>
      <c r="V113" s="201">
        <v>4418.97</v>
      </c>
      <c r="W113" s="218">
        <v>6000</v>
      </c>
      <c r="X113" s="203">
        <f t="shared" si="61"/>
        <v>-0.26350499999999993</v>
      </c>
      <c r="Y113" s="1039"/>
    </row>
    <row r="114" spans="1:26" ht="13.5" customHeight="1" x14ac:dyDescent="0.35">
      <c r="A114" s="40">
        <v>134</v>
      </c>
      <c r="C114" s="1064" t="s">
        <v>846</v>
      </c>
      <c r="D114" s="1065"/>
      <c r="E114" s="334"/>
      <c r="F114" s="334"/>
      <c r="G114" s="334"/>
      <c r="H114" s="334"/>
      <c r="I114" s="334"/>
      <c r="J114" s="334"/>
      <c r="K114" s="334"/>
      <c r="L114" s="334"/>
      <c r="M114" s="334"/>
      <c r="N114" s="334"/>
      <c r="O114" s="334"/>
      <c r="P114" s="335" t="s">
        <v>882</v>
      </c>
      <c r="Q114" s="337">
        <v>500</v>
      </c>
      <c r="R114" s="337">
        <v>0</v>
      </c>
      <c r="S114" s="338">
        <f t="shared" si="59"/>
        <v>500</v>
      </c>
      <c r="T114" s="339" t="str">
        <f t="shared" si="60"/>
        <v>NA</v>
      </c>
      <c r="V114" s="337">
        <v>0</v>
      </c>
      <c r="W114" s="337">
        <v>0</v>
      </c>
      <c r="X114" s="339" t="str">
        <f t="shared" si="61"/>
        <v>NA</v>
      </c>
      <c r="Y114" s="1397" t="s">
        <v>883</v>
      </c>
      <c r="Z114" s="2"/>
    </row>
    <row r="115" spans="1:26" ht="13.5" customHeight="1" x14ac:dyDescent="0.35">
      <c r="A115" s="40">
        <v>135</v>
      </c>
      <c r="C115" s="1068" t="s">
        <v>59</v>
      </c>
      <c r="D115" s="1069"/>
      <c r="E115" s="215"/>
      <c r="F115" s="215"/>
      <c r="G115" s="215"/>
      <c r="H115" s="215"/>
      <c r="I115" s="215"/>
      <c r="J115" s="215"/>
      <c r="K115" s="215"/>
      <c r="L115" s="215"/>
      <c r="M115" s="215"/>
      <c r="N115" s="215"/>
      <c r="O115" s="215"/>
      <c r="P115" s="216" t="s">
        <v>740</v>
      </c>
      <c r="Q115" s="205">
        <v>1900</v>
      </c>
      <c r="R115" s="205">
        <v>1900</v>
      </c>
      <c r="S115" s="206">
        <f t="shared" si="59"/>
        <v>0</v>
      </c>
      <c r="T115" s="207">
        <f t="shared" si="60"/>
        <v>0</v>
      </c>
      <c r="V115" s="205">
        <v>698.74</v>
      </c>
      <c r="W115" s="205">
        <v>1425</v>
      </c>
      <c r="X115" s="207">
        <f t="shared" si="61"/>
        <v>-0.50965614035087714</v>
      </c>
      <c r="Y115" s="1039"/>
    </row>
    <row r="116" spans="1:26" ht="13.5" customHeight="1" x14ac:dyDescent="0.35">
      <c r="A116" s="40">
        <v>136</v>
      </c>
      <c r="C116" s="1068" t="s">
        <v>60</v>
      </c>
      <c r="D116" s="1069"/>
      <c r="E116" s="215"/>
      <c r="F116" s="215"/>
      <c r="G116" s="215"/>
      <c r="H116" s="215"/>
      <c r="I116" s="215"/>
      <c r="J116" s="215"/>
      <c r="K116" s="215"/>
      <c r="L116" s="215"/>
      <c r="M116" s="215"/>
      <c r="N116" s="215"/>
      <c r="O116" s="215"/>
      <c r="P116" s="216" t="s">
        <v>740</v>
      </c>
      <c r="Q116" s="205">
        <v>400</v>
      </c>
      <c r="R116" s="205">
        <v>400</v>
      </c>
      <c r="S116" s="206">
        <f t="shared" si="59"/>
        <v>0</v>
      </c>
      <c r="T116" s="207">
        <f t="shared" si="60"/>
        <v>0</v>
      </c>
      <c r="V116" s="205">
        <v>263.39999999999998</v>
      </c>
      <c r="W116" s="205">
        <v>400</v>
      </c>
      <c r="X116" s="207">
        <f t="shared" si="61"/>
        <v>-0.34150000000000008</v>
      </c>
      <c r="Y116" s="1039"/>
    </row>
    <row r="117" spans="1:26" ht="13.5" customHeight="1" x14ac:dyDescent="0.35">
      <c r="A117" s="40">
        <v>138</v>
      </c>
      <c r="B117" s="1085"/>
      <c r="C117" s="1068" t="s">
        <v>95</v>
      </c>
      <c r="D117" s="1069"/>
      <c r="E117" s="215"/>
      <c r="F117" s="215"/>
      <c r="G117" s="215"/>
      <c r="H117" s="215"/>
      <c r="I117" s="215"/>
      <c r="J117" s="215"/>
      <c r="K117" s="215"/>
      <c r="L117" s="215"/>
      <c r="M117" s="215"/>
      <c r="N117" s="215"/>
      <c r="O117" s="215"/>
      <c r="P117" s="216" t="s">
        <v>740</v>
      </c>
      <c r="Q117" s="205">
        <v>9000</v>
      </c>
      <c r="R117" s="205">
        <v>8000</v>
      </c>
      <c r="S117" s="206">
        <f t="shared" si="59"/>
        <v>1000</v>
      </c>
      <c r="T117" s="207">
        <f t="shared" si="60"/>
        <v>0.125</v>
      </c>
      <c r="V117" s="205">
        <v>6718.04</v>
      </c>
      <c r="W117" s="205">
        <v>6000</v>
      </c>
      <c r="X117" s="207">
        <f t="shared" si="61"/>
        <v>0.11967333333333333</v>
      </c>
      <c r="Y117" s="1039"/>
    </row>
    <row r="118" spans="1:26" s="2" customFormat="1" ht="13.5" customHeight="1" x14ac:dyDescent="0.35">
      <c r="A118" s="40">
        <v>139</v>
      </c>
      <c r="B118" s="1086" t="s">
        <v>62</v>
      </c>
      <c r="C118" s="1086"/>
      <c r="D118" s="1086"/>
      <c r="E118" s="62"/>
      <c r="F118" s="62"/>
      <c r="G118" s="62"/>
      <c r="H118" s="62"/>
      <c r="I118" s="62"/>
      <c r="J118" s="62"/>
      <c r="K118" s="62"/>
      <c r="L118" s="62"/>
      <c r="M118" s="62"/>
      <c r="N118" s="62"/>
      <c r="O118" s="25"/>
      <c r="P118" s="62"/>
      <c r="Q118" s="25">
        <f>SUM(Q112:Q117)</f>
        <v>32800</v>
      </c>
      <c r="R118" s="25">
        <f>SUM(R112:R117)</f>
        <v>32300</v>
      </c>
      <c r="S118" s="25">
        <f>SUM(S112:S117)</f>
        <v>500</v>
      </c>
      <c r="T118" s="26">
        <f t="shared" si="60"/>
        <v>1.5479876160990712E-2</v>
      </c>
      <c r="U118" s="557"/>
      <c r="V118" s="25">
        <f>SUM(V112:V117)</f>
        <v>20545.79</v>
      </c>
      <c r="W118" s="25">
        <f>SUM(W112:W117)</f>
        <v>22491.64</v>
      </c>
      <c r="X118" s="26">
        <f t="shared" si="61"/>
        <v>-8.6514367115959473E-2</v>
      </c>
      <c r="Y118" s="1047"/>
    </row>
    <row r="119" spans="1:26" ht="13.5" customHeight="1" x14ac:dyDescent="0.35">
      <c r="A119" s="40">
        <v>141</v>
      </c>
      <c r="B119" s="1062" t="s">
        <v>63</v>
      </c>
      <c r="T119" s="4"/>
    </row>
    <row r="120" spans="1:26" ht="13.5" customHeight="1" x14ac:dyDescent="0.35">
      <c r="A120" s="40">
        <v>142</v>
      </c>
      <c r="C120" s="1064" t="s">
        <v>64</v>
      </c>
      <c r="D120" s="1065"/>
      <c r="E120" s="335"/>
      <c r="F120" s="336"/>
      <c r="G120" s="336"/>
      <c r="H120" s="336"/>
      <c r="I120" s="336"/>
      <c r="J120" s="336"/>
      <c r="K120" s="336"/>
      <c r="L120" s="336"/>
      <c r="M120" s="336"/>
      <c r="N120" s="336"/>
      <c r="O120" s="333"/>
      <c r="P120" s="336" t="s">
        <v>741</v>
      </c>
      <c r="Q120" s="340">
        <v>17000</v>
      </c>
      <c r="R120" s="340">
        <v>15000</v>
      </c>
      <c r="S120" s="338">
        <f t="shared" ref="S120:S124" si="62">+Q120-R120</f>
        <v>2000</v>
      </c>
      <c r="T120" s="339">
        <f t="shared" ref="T120:T126" si="63">IF(R120=0,"NA",(+Q120-R120)/R120)</f>
        <v>0.13333333333333333</v>
      </c>
      <c r="V120" s="337">
        <v>8905</v>
      </c>
      <c r="W120" s="340">
        <v>7500</v>
      </c>
      <c r="X120" s="339">
        <f t="shared" ref="X120:X126" si="64">IF(W120=0,"NA",(+V120-W120)/W120)</f>
        <v>0.18733333333333332</v>
      </c>
      <c r="Y120" s="1029"/>
    </row>
    <row r="121" spans="1:26" ht="13.5" customHeight="1" x14ac:dyDescent="0.35">
      <c r="A121" s="40">
        <v>143</v>
      </c>
      <c r="C121" s="1068" t="s">
        <v>65</v>
      </c>
      <c r="D121" s="1069"/>
      <c r="E121" s="216"/>
      <c r="F121" s="217"/>
      <c r="G121" s="217"/>
      <c r="H121" s="217"/>
      <c r="I121" s="217"/>
      <c r="J121" s="217"/>
      <c r="K121" s="217"/>
      <c r="L121" s="217"/>
      <c r="M121" s="217"/>
      <c r="N121" s="217"/>
      <c r="O121" s="208"/>
      <c r="P121" s="217" t="s">
        <v>740</v>
      </c>
      <c r="Q121" s="205">
        <v>6000</v>
      </c>
      <c r="R121" s="205">
        <v>6000</v>
      </c>
      <c r="S121" s="206">
        <f t="shared" si="62"/>
        <v>0</v>
      </c>
      <c r="T121" s="207">
        <f t="shared" si="63"/>
        <v>0</v>
      </c>
      <c r="V121" s="205">
        <v>2528</v>
      </c>
      <c r="W121" s="205">
        <v>4800</v>
      </c>
      <c r="X121" s="207">
        <f t="shared" si="64"/>
        <v>-0.47333333333333333</v>
      </c>
      <c r="Y121" s="1039"/>
    </row>
    <row r="122" spans="1:26" ht="13.5" customHeight="1" x14ac:dyDescent="0.35">
      <c r="A122" s="40">
        <v>159</v>
      </c>
      <c r="C122" s="1068" t="s">
        <v>88</v>
      </c>
      <c r="D122" s="1069"/>
      <c r="E122" s="216"/>
      <c r="F122" s="217"/>
      <c r="G122" s="217"/>
      <c r="H122" s="217"/>
      <c r="I122" s="217"/>
      <c r="J122" s="217"/>
      <c r="K122" s="217"/>
      <c r="L122" s="217"/>
      <c r="M122" s="217"/>
      <c r="N122" s="217"/>
      <c r="O122" s="208"/>
      <c r="P122" s="217" t="s">
        <v>740</v>
      </c>
      <c r="Q122" s="205">
        <v>4500</v>
      </c>
      <c r="R122" s="205">
        <v>4500</v>
      </c>
      <c r="S122" s="206">
        <f t="shared" si="62"/>
        <v>0</v>
      </c>
      <c r="T122" s="207">
        <f t="shared" si="63"/>
        <v>0</v>
      </c>
      <c r="V122" s="205">
        <v>1904.87</v>
      </c>
      <c r="W122" s="205">
        <v>3000</v>
      </c>
      <c r="X122" s="207">
        <f t="shared" si="64"/>
        <v>-0.36504333333333339</v>
      </c>
      <c r="Y122" s="1039"/>
    </row>
    <row r="123" spans="1:26" ht="13.5" customHeight="1" x14ac:dyDescent="0.35">
      <c r="A123" s="40">
        <v>145</v>
      </c>
      <c r="C123" s="1471" t="s">
        <v>91</v>
      </c>
      <c r="D123" s="1471"/>
      <c r="E123" s="342"/>
      <c r="F123" s="342"/>
      <c r="G123" s="342"/>
      <c r="H123" s="342"/>
      <c r="I123" s="342"/>
      <c r="J123" s="342"/>
      <c r="K123" s="342"/>
      <c r="L123" s="342"/>
      <c r="M123" s="342"/>
      <c r="N123" s="342"/>
      <c r="O123" s="341"/>
      <c r="P123" s="342" t="s">
        <v>740</v>
      </c>
      <c r="Q123" s="219">
        <v>6200</v>
      </c>
      <c r="R123" s="219">
        <v>6200</v>
      </c>
      <c r="S123" s="206">
        <f t="shared" si="62"/>
        <v>0</v>
      </c>
      <c r="T123" s="207">
        <f t="shared" si="63"/>
        <v>0</v>
      </c>
      <c r="V123" s="205">
        <v>4503.1000000000004</v>
      </c>
      <c r="W123" s="219">
        <v>4133.3599999999997</v>
      </c>
      <c r="X123" s="207">
        <f t="shared" si="64"/>
        <v>8.9452648692589259E-2</v>
      </c>
      <c r="Y123" s="1030"/>
    </row>
    <row r="124" spans="1:26" ht="13.5" customHeight="1" x14ac:dyDescent="0.35">
      <c r="A124" s="40">
        <v>146</v>
      </c>
      <c r="C124" s="1068" t="s">
        <v>66</v>
      </c>
      <c r="D124" s="1069"/>
      <c r="E124" s="216"/>
      <c r="F124" s="217"/>
      <c r="G124" s="217"/>
      <c r="H124" s="217"/>
      <c r="I124" s="217"/>
      <c r="J124" s="217"/>
      <c r="K124" s="217"/>
      <c r="L124" s="217"/>
      <c r="M124" s="217"/>
      <c r="N124" s="217"/>
      <c r="O124" s="208"/>
      <c r="P124" s="217" t="s">
        <v>740</v>
      </c>
      <c r="Q124" s="205">
        <v>10000</v>
      </c>
      <c r="R124" s="205">
        <v>10000</v>
      </c>
      <c r="S124" s="206">
        <f t="shared" si="62"/>
        <v>0</v>
      </c>
      <c r="T124" s="207">
        <f t="shared" si="63"/>
        <v>0</v>
      </c>
      <c r="V124" s="219">
        <v>6357.91</v>
      </c>
      <c r="W124" s="205">
        <v>6666.64</v>
      </c>
      <c r="X124" s="207">
        <f t="shared" si="64"/>
        <v>-4.6309685238741023E-2</v>
      </c>
      <c r="Y124" s="1029"/>
    </row>
    <row r="125" spans="1:26" s="2" customFormat="1" ht="13.5" customHeight="1" x14ac:dyDescent="0.35">
      <c r="A125" s="40">
        <v>150</v>
      </c>
      <c r="B125" s="1086" t="s">
        <v>67</v>
      </c>
      <c r="C125" s="1086"/>
      <c r="D125" s="1086"/>
      <c r="E125" s="62"/>
      <c r="F125" s="62"/>
      <c r="G125" s="62"/>
      <c r="H125" s="62"/>
      <c r="I125" s="62"/>
      <c r="J125" s="62"/>
      <c r="K125" s="62"/>
      <c r="L125" s="62"/>
      <c r="M125" s="62"/>
      <c r="N125" s="62"/>
      <c r="O125" s="25"/>
      <c r="P125" s="62"/>
      <c r="Q125" s="25">
        <f>SUM(Q120:Q124)</f>
        <v>43700</v>
      </c>
      <c r="R125" s="25">
        <f>SUM(R120:R124)</f>
        <v>41700</v>
      </c>
      <c r="S125" s="25">
        <f>SUM(S120:S124)</f>
        <v>2000</v>
      </c>
      <c r="T125" s="26">
        <f t="shared" si="63"/>
        <v>4.7961630695443645E-2</v>
      </c>
      <c r="U125" s="557"/>
      <c r="V125" s="25">
        <f>SUM(V120:V124)</f>
        <v>24198.880000000001</v>
      </c>
      <c r="W125" s="25">
        <f>SUM(W120:W124)</f>
        <v>26100</v>
      </c>
      <c r="X125" s="26">
        <f t="shared" si="64"/>
        <v>-7.2839846743294981E-2</v>
      </c>
      <c r="Y125" s="1047"/>
      <c r="Z125" s="1"/>
    </row>
    <row r="126" spans="1:26" ht="17" customHeight="1" x14ac:dyDescent="0.35">
      <c r="A126" s="40">
        <v>151</v>
      </c>
      <c r="B126" s="1086" t="s">
        <v>68</v>
      </c>
      <c r="C126" s="1086"/>
      <c r="D126" s="1086"/>
      <c r="E126" s="62"/>
      <c r="F126" s="62"/>
      <c r="G126" s="62"/>
      <c r="H126" s="62"/>
      <c r="I126" s="62"/>
      <c r="J126" s="62"/>
      <c r="K126" s="62"/>
      <c r="L126" s="62"/>
      <c r="M126" s="62"/>
      <c r="N126" s="62"/>
      <c r="O126" s="25"/>
      <c r="P126" s="62"/>
      <c r="Q126" s="25">
        <f>+Q118+Q125</f>
        <v>76500</v>
      </c>
      <c r="R126" s="25">
        <f>+R118+R125</f>
        <v>74000</v>
      </c>
      <c r="S126" s="25">
        <f>+S118+S125</f>
        <v>2500</v>
      </c>
      <c r="T126" s="26">
        <f t="shared" si="63"/>
        <v>3.3783783783783786E-2</v>
      </c>
      <c r="V126" s="25">
        <f>+V118+V125</f>
        <v>44744.67</v>
      </c>
      <c r="W126" s="25">
        <f>+W118+W125</f>
        <v>48591.64</v>
      </c>
      <c r="X126" s="26">
        <f t="shared" si="64"/>
        <v>-7.9169379753389696E-2</v>
      </c>
      <c r="Y126" s="1047"/>
    </row>
    <row r="127" spans="1:26" ht="23" hidden="1" customHeight="1" x14ac:dyDescent="0.35">
      <c r="A127" s="40">
        <v>154</v>
      </c>
      <c r="B127" s="1072" t="s">
        <v>70</v>
      </c>
      <c r="T127" s="4"/>
    </row>
    <row r="128" spans="1:26" ht="18.5" hidden="1" x14ac:dyDescent="0.35">
      <c r="B128" s="1072"/>
      <c r="C128" s="1073" t="s">
        <v>516</v>
      </c>
      <c r="D128" s="1074"/>
      <c r="E128" s="210"/>
      <c r="F128" s="211"/>
      <c r="G128" s="211"/>
      <c r="H128" s="211"/>
      <c r="I128" s="211"/>
      <c r="J128" s="211"/>
      <c r="K128" s="211"/>
      <c r="L128" s="211"/>
      <c r="M128" s="211"/>
      <c r="N128" s="211"/>
      <c r="O128" s="200"/>
      <c r="P128" s="211"/>
      <c r="Q128" s="220">
        <v>0</v>
      </c>
      <c r="R128" s="220">
        <v>0</v>
      </c>
      <c r="S128" s="198">
        <f>+Q128-R128</f>
        <v>0</v>
      </c>
      <c r="T128" s="199" t="str">
        <f>IF(R128=0,"NA",(+Q128-R128)/R128)</f>
        <v>NA</v>
      </c>
      <c r="V128" s="197">
        <v>0</v>
      </c>
      <c r="W128" s="197">
        <v>0</v>
      </c>
      <c r="X128" s="199" t="str">
        <f>IF(W128=0,"NA",(+V128-W128)/W128)</f>
        <v>NA</v>
      </c>
      <c r="Y128" s="1036"/>
    </row>
    <row r="129" spans="1:26" hidden="1" x14ac:dyDescent="0.35">
      <c r="C129" s="1073" t="s">
        <v>71</v>
      </c>
      <c r="D129" s="1074"/>
      <c r="E129" s="210"/>
      <c r="F129" s="211"/>
      <c r="G129" s="211"/>
      <c r="H129" s="211"/>
      <c r="I129" s="211"/>
      <c r="J129" s="211"/>
      <c r="K129" s="211"/>
      <c r="L129" s="211"/>
      <c r="M129" s="211"/>
      <c r="N129" s="211"/>
      <c r="O129" s="200"/>
      <c r="P129" s="211"/>
      <c r="Q129" s="220">
        <v>0</v>
      </c>
      <c r="R129" s="220">
        <v>0</v>
      </c>
      <c r="S129" s="198">
        <f t="shared" ref="S129:S134" si="65">+Q129-R129</f>
        <v>0</v>
      </c>
      <c r="T129" s="199" t="str">
        <f t="shared" ref="T129:T135" si="66">IF(R129=0,"NA",(+Q129-R129)/R129)</f>
        <v>NA</v>
      </c>
      <c r="V129" s="197">
        <v>0</v>
      </c>
      <c r="W129" s="197">
        <v>0</v>
      </c>
      <c r="X129" s="199" t="str">
        <f t="shared" ref="X129:X134" si="67">IF(W129=0,"NA",(+V129-W129)/W129)</f>
        <v>NA</v>
      </c>
      <c r="Y129" s="1036"/>
    </row>
    <row r="130" spans="1:26" hidden="1" x14ac:dyDescent="0.35">
      <c r="C130" s="1024" t="s">
        <v>137</v>
      </c>
      <c r="D130" s="1066"/>
      <c r="E130" s="213"/>
      <c r="F130" s="214"/>
      <c r="G130" s="214"/>
      <c r="H130" s="214"/>
      <c r="I130" s="214"/>
      <c r="J130" s="214"/>
      <c r="K130" s="214"/>
      <c r="L130" s="214"/>
      <c r="M130" s="214"/>
      <c r="N130" s="214"/>
      <c r="O130" s="204"/>
      <c r="P130" s="214"/>
      <c r="Q130" s="218">
        <v>0</v>
      </c>
      <c r="R130" s="218">
        <v>0</v>
      </c>
      <c r="S130" s="202">
        <f t="shared" si="65"/>
        <v>0</v>
      </c>
      <c r="T130" s="203" t="str">
        <f t="shared" si="66"/>
        <v>NA</v>
      </c>
      <c r="V130" s="201">
        <v>0</v>
      </c>
      <c r="W130" s="201">
        <v>0</v>
      </c>
      <c r="X130" s="203" t="str">
        <f t="shared" si="67"/>
        <v>NA</v>
      </c>
      <c r="Y130" s="1030"/>
    </row>
    <row r="131" spans="1:26" hidden="1" x14ac:dyDescent="0.35">
      <c r="A131" s="40">
        <v>156</v>
      </c>
      <c r="C131" s="1024" t="s">
        <v>107</v>
      </c>
      <c r="D131" s="1066"/>
      <c r="E131" s="213"/>
      <c r="F131" s="214"/>
      <c r="G131" s="214"/>
      <c r="H131" s="214"/>
      <c r="I131" s="214"/>
      <c r="J131" s="214"/>
      <c r="K131" s="214"/>
      <c r="L131" s="214"/>
      <c r="M131" s="214"/>
      <c r="N131" s="214"/>
      <c r="O131" s="204"/>
      <c r="P131" s="214"/>
      <c r="Q131" s="218">
        <v>0</v>
      </c>
      <c r="R131" s="218">
        <v>0</v>
      </c>
      <c r="S131" s="202">
        <f t="shared" si="65"/>
        <v>0</v>
      </c>
      <c r="T131" s="203" t="str">
        <f t="shared" si="66"/>
        <v>NA</v>
      </c>
      <c r="V131" s="218">
        <v>0</v>
      </c>
      <c r="W131" s="218">
        <v>0</v>
      </c>
      <c r="X131" s="203" t="str">
        <f t="shared" si="67"/>
        <v>NA</v>
      </c>
      <c r="Y131" s="1030"/>
    </row>
    <row r="132" spans="1:26" hidden="1" x14ac:dyDescent="0.35">
      <c r="A132" s="40">
        <v>157</v>
      </c>
      <c r="C132" s="1024" t="s">
        <v>112</v>
      </c>
      <c r="D132" s="1066"/>
      <c r="E132" s="213"/>
      <c r="F132" s="214"/>
      <c r="G132" s="214"/>
      <c r="H132" s="214"/>
      <c r="I132" s="214"/>
      <c r="J132" s="214"/>
      <c r="K132" s="214"/>
      <c r="L132" s="214"/>
      <c r="M132" s="214"/>
      <c r="N132" s="214"/>
      <c r="O132" s="204"/>
      <c r="P132" s="214"/>
      <c r="Q132" s="218">
        <v>0</v>
      </c>
      <c r="R132" s="218">
        <v>0</v>
      </c>
      <c r="S132" s="202">
        <f t="shared" si="65"/>
        <v>0</v>
      </c>
      <c r="T132" s="203" t="str">
        <f t="shared" si="66"/>
        <v>NA</v>
      </c>
      <c r="V132" s="218">
        <v>0</v>
      </c>
      <c r="W132" s="201">
        <v>0</v>
      </c>
      <c r="X132" s="247" t="s">
        <v>367</v>
      </c>
      <c r="Y132" s="1049"/>
    </row>
    <row r="133" spans="1:26" hidden="1" x14ac:dyDescent="0.35">
      <c r="A133" s="40">
        <v>157</v>
      </c>
      <c r="C133" s="1068" t="s">
        <v>132</v>
      </c>
      <c r="D133" s="1069"/>
      <c r="E133" s="216"/>
      <c r="F133" s="217"/>
      <c r="G133" s="217"/>
      <c r="H133" s="217"/>
      <c r="I133" s="217"/>
      <c r="J133" s="217"/>
      <c r="K133" s="217"/>
      <c r="L133" s="217"/>
      <c r="M133" s="217"/>
      <c r="N133" s="217"/>
      <c r="O133" s="208"/>
      <c r="P133" s="217"/>
      <c r="Q133" s="219">
        <v>0</v>
      </c>
      <c r="R133" s="219">
        <v>0</v>
      </c>
      <c r="S133" s="206">
        <f t="shared" si="65"/>
        <v>0</v>
      </c>
      <c r="T133" s="207" t="str">
        <f t="shared" si="66"/>
        <v>NA</v>
      </c>
      <c r="V133" s="205">
        <v>0</v>
      </c>
      <c r="W133" s="205">
        <v>0</v>
      </c>
      <c r="X133" s="207" t="str">
        <f t="shared" si="67"/>
        <v>NA</v>
      </c>
      <c r="Y133" s="1039"/>
      <c r="Z133" s="2"/>
    </row>
    <row r="134" spans="1:26" hidden="1" x14ac:dyDescent="0.35">
      <c r="A134" s="40">
        <v>158</v>
      </c>
      <c r="C134" s="1035" t="s">
        <v>72</v>
      </c>
      <c r="Q134" s="50">
        <v>0</v>
      </c>
      <c r="R134" s="50">
        <v>0</v>
      </c>
      <c r="S134" s="35">
        <f t="shared" si="65"/>
        <v>0</v>
      </c>
      <c r="T134" s="3" t="str">
        <f t="shared" si="66"/>
        <v>NA</v>
      </c>
      <c r="V134" s="48">
        <v>0</v>
      </c>
      <c r="W134" s="48">
        <v>0</v>
      </c>
      <c r="X134" s="3" t="str">
        <f t="shared" si="67"/>
        <v>NA</v>
      </c>
      <c r="Y134" s="1048"/>
      <c r="Z134" s="2">
        <v>16</v>
      </c>
    </row>
    <row r="135" spans="1:26" s="2" customFormat="1" hidden="1" x14ac:dyDescent="0.35">
      <c r="A135" s="1"/>
      <c r="B135" s="1087" t="s">
        <v>73</v>
      </c>
      <c r="C135" s="1087"/>
      <c r="D135" s="1087"/>
      <c r="E135" s="63"/>
      <c r="F135" s="63"/>
      <c r="G135" s="63"/>
      <c r="H135" s="63"/>
      <c r="I135" s="63"/>
      <c r="J135" s="63"/>
      <c r="K135" s="63"/>
      <c r="L135" s="63"/>
      <c r="M135" s="63"/>
      <c r="N135" s="63"/>
      <c r="O135" s="27"/>
      <c r="P135" s="63"/>
      <c r="Q135" s="27">
        <f>SUM(Q128:Q134)</f>
        <v>0</v>
      </c>
      <c r="R135" s="27">
        <f>SUM(R128:R134)</f>
        <v>0</v>
      </c>
      <c r="S135" s="27">
        <f>SUM(S128:S134)</f>
        <v>0</v>
      </c>
      <c r="T135" s="28" t="str">
        <f t="shared" si="66"/>
        <v>NA</v>
      </c>
      <c r="U135" s="557"/>
      <c r="V135" s="27">
        <f>SUM(V128:V134)</f>
        <v>0</v>
      </c>
      <c r="W135" s="27">
        <f>SUM(W128:W134)</f>
        <v>0</v>
      </c>
      <c r="X135" s="686" t="s">
        <v>367</v>
      </c>
      <c r="Y135" s="1050"/>
      <c r="Z135" s="1"/>
    </row>
    <row r="136" spans="1:26" ht="7.5" customHeight="1" x14ac:dyDescent="0.35">
      <c r="A136" s="40">
        <v>160</v>
      </c>
      <c r="D136" s="1035"/>
      <c r="E136" s="36"/>
      <c r="T136" s="4"/>
    </row>
    <row r="137" spans="1:26" ht="17" customHeight="1" x14ac:dyDescent="0.35">
      <c r="A137" s="40">
        <v>161</v>
      </c>
      <c r="B137" s="1088" t="s">
        <v>74</v>
      </c>
      <c r="C137" s="1089"/>
      <c r="D137" s="1089"/>
      <c r="E137" s="64"/>
      <c r="F137" s="64"/>
      <c r="G137" s="64"/>
      <c r="H137" s="64"/>
      <c r="I137" s="64"/>
      <c r="J137" s="64"/>
      <c r="K137" s="64"/>
      <c r="L137" s="64"/>
      <c r="M137" s="64"/>
      <c r="N137" s="64"/>
      <c r="O137" s="30"/>
      <c r="P137" s="64"/>
      <c r="Q137" s="29">
        <f>Q27+Q66+Q109+Q126+Q135</f>
        <v>517735.99</v>
      </c>
      <c r="R137" s="29">
        <f>+R66+R109+R126+R135+R27</f>
        <v>476999.99</v>
      </c>
      <c r="S137" s="29">
        <f>+S66+S109+S126+S135+S27</f>
        <v>40736</v>
      </c>
      <c r="T137" s="31">
        <f>IF(R137=0,"NA",(+Q137-R137)/R137)</f>
        <v>8.5400421077576963E-2</v>
      </c>
      <c r="V137" s="29">
        <f>+V66+V109+V126+V135+V27</f>
        <v>294136.55</v>
      </c>
      <c r="W137" s="29">
        <f>+W66+W109+W126+W135+W27</f>
        <v>312584.5</v>
      </c>
      <c r="X137" s="31">
        <f>IF(W137=0,"NA",(+V137-W137)/W137)</f>
        <v>-5.9017481672955667E-2</v>
      </c>
      <c r="Y137" s="1051"/>
    </row>
    <row r="138" spans="1:26" ht="15" thickBot="1" x14ac:dyDescent="0.4">
      <c r="A138" s="40">
        <v>162</v>
      </c>
      <c r="B138" s="1088" t="s">
        <v>75</v>
      </c>
      <c r="C138" s="1089"/>
      <c r="D138" s="1089"/>
      <c r="E138" s="64"/>
      <c r="F138" s="64"/>
      <c r="G138" s="64"/>
      <c r="H138" s="64"/>
      <c r="I138" s="64"/>
      <c r="J138" s="64"/>
      <c r="K138" s="64"/>
      <c r="L138" s="64"/>
      <c r="M138" s="64"/>
      <c r="N138" s="64"/>
      <c r="O138" s="30"/>
      <c r="P138" s="64"/>
      <c r="Q138" s="29">
        <f>ROUND(+Q13-Q137,0)</f>
        <v>-9736</v>
      </c>
      <c r="R138" s="29">
        <f>ROUND(+R13-R137,0)</f>
        <v>0</v>
      </c>
      <c r="S138" s="29">
        <f>ROUND(+S13-S137,0)</f>
        <v>-9736</v>
      </c>
      <c r="T138" s="31" t="str">
        <f>IF(R138=0,"NA",(+Q138-R138)/R138)</f>
        <v>NA</v>
      </c>
      <c r="V138" s="29">
        <f>+ROUND(V13-V137,0)</f>
        <v>90532</v>
      </c>
      <c r="W138" s="29">
        <f>+W13-W137</f>
        <v>19494.140000000014</v>
      </c>
      <c r="X138" s="691" t="s">
        <v>367</v>
      </c>
      <c r="Y138" s="1052"/>
    </row>
    <row r="139" spans="1:26" ht="10" hidden="1" customHeight="1" x14ac:dyDescent="0.35">
      <c r="T139" s="4"/>
    </row>
    <row r="140" spans="1:26" hidden="1" x14ac:dyDescent="0.35">
      <c r="B140" s="1090" t="s">
        <v>427</v>
      </c>
      <c r="C140" s="1091"/>
      <c r="D140" s="1091"/>
      <c r="E140" s="76"/>
      <c r="F140" s="76"/>
      <c r="G140" s="76"/>
      <c r="H140" s="76"/>
      <c r="I140" s="76"/>
      <c r="J140" s="76"/>
      <c r="K140" s="76"/>
      <c r="L140" s="76"/>
      <c r="M140" s="76"/>
      <c r="N140" s="76"/>
      <c r="O140" s="75"/>
      <c r="P140" s="76"/>
      <c r="Q140" s="77" t="e">
        <f>+Q13-#REF!</f>
        <v>#REF!</v>
      </c>
      <c r="R140" s="77" t="e">
        <f>+R13-#REF!</f>
        <v>#REF!</v>
      </c>
      <c r="S140" s="78" t="e">
        <f>+Q140-R140</f>
        <v>#REF!</v>
      </c>
      <c r="T140" s="79" t="e">
        <f>IF(R140=0,"NA",(+Q140-R140)/R140)</f>
        <v>#REF!</v>
      </c>
      <c r="U140" s="69"/>
      <c r="V140" s="77" t="e">
        <f>+V13-#REF!</f>
        <v>#REF!</v>
      </c>
      <c r="W140" s="77" t="e">
        <f>+W13-#REF!</f>
        <v>#REF!</v>
      </c>
      <c r="X140" s="80" t="e">
        <f>IF(W140=0,"NA",(+V140-W140)/W140)</f>
        <v>#REF!</v>
      </c>
      <c r="Y140" s="1053"/>
    </row>
    <row r="141" spans="1:26" hidden="1" x14ac:dyDescent="0.35">
      <c r="B141" s="1092" t="s">
        <v>114</v>
      </c>
      <c r="C141" s="1093"/>
      <c r="D141" s="1093"/>
      <c r="E141" s="70"/>
      <c r="F141" s="70"/>
      <c r="G141" s="70"/>
      <c r="H141" s="70"/>
      <c r="I141" s="70"/>
      <c r="J141" s="70"/>
      <c r="K141" s="70"/>
      <c r="L141" s="70"/>
      <c r="M141" s="70"/>
      <c r="N141" s="70"/>
      <c r="O141" s="69"/>
      <c r="P141" s="70"/>
      <c r="Q141" s="71">
        <f>+Q137-Q135</f>
        <v>517735.99</v>
      </c>
      <c r="R141" s="71">
        <f>+R137-R135</f>
        <v>476999.99</v>
      </c>
      <c r="S141" s="72">
        <f>+Q141-R141</f>
        <v>40736</v>
      </c>
      <c r="T141" s="73">
        <f>IF(R141=0,"NA",(+Q141-R141)/R141)</f>
        <v>8.5400421077576963E-2</v>
      </c>
      <c r="U141" s="69"/>
      <c r="V141" s="71">
        <f>+V137-V135</f>
        <v>294136.55</v>
      </c>
      <c r="W141" s="71">
        <f>+W137-W135</f>
        <v>312584.5</v>
      </c>
      <c r="X141" s="82">
        <f>IF(W141=0,"NA",(+V141-W141)/W141)</f>
        <v>-5.9017481672955667E-2</v>
      </c>
      <c r="Y141" s="1053"/>
    </row>
    <row r="142" spans="1:26" ht="15" hidden="1" thickBot="1" x14ac:dyDescent="0.4">
      <c r="B142" s="1094" t="s">
        <v>123</v>
      </c>
      <c r="C142" s="1095"/>
      <c r="D142" s="1095"/>
      <c r="E142" s="85"/>
      <c r="F142" s="85"/>
      <c r="G142" s="85"/>
      <c r="H142" s="86"/>
      <c r="I142" s="86"/>
      <c r="J142" s="86"/>
      <c r="K142" s="86"/>
      <c r="L142" s="86"/>
      <c r="M142" s="86"/>
      <c r="N142" s="86"/>
      <c r="O142" s="84"/>
      <c r="P142" s="85"/>
      <c r="Q142" s="87" t="e">
        <f>+Q140-Q141</f>
        <v>#REF!</v>
      </c>
      <c r="R142" s="87" t="e">
        <f>+R140-R141</f>
        <v>#REF!</v>
      </c>
      <c r="S142" s="88" t="e">
        <f>+Q142-R142</f>
        <v>#REF!</v>
      </c>
      <c r="T142" s="89" t="e">
        <f>IF(R142=0,"NA",(+Q142-R142)/R142)</f>
        <v>#REF!</v>
      </c>
      <c r="U142" s="69"/>
      <c r="V142" s="87" t="e">
        <f>+V140-V141</f>
        <v>#REF!</v>
      </c>
      <c r="W142" s="87" t="e">
        <f>+W140-W141</f>
        <v>#REF!</v>
      </c>
      <c r="X142" s="687" t="s">
        <v>367</v>
      </c>
      <c r="Y142" s="1054"/>
    </row>
    <row r="143" spans="1:26" ht="15" hidden="1" thickBot="1" x14ac:dyDescent="0.4">
      <c r="T143" s="4"/>
      <c r="V143" s="43"/>
      <c r="Y143" s="1132"/>
    </row>
    <row r="144" spans="1:26" ht="29.5" thickBot="1" x14ac:dyDescent="0.4">
      <c r="B144" s="1099" t="s">
        <v>440</v>
      </c>
      <c r="C144" s="1166"/>
      <c r="D144" s="1057"/>
      <c r="E144" s="818"/>
      <c r="F144" s="818"/>
      <c r="G144" s="818"/>
      <c r="H144" s="1167"/>
      <c r="I144" s="1167"/>
      <c r="J144" s="1167"/>
      <c r="K144" s="1167"/>
      <c r="L144" s="1167"/>
      <c r="M144" s="1167"/>
      <c r="N144" s="1167"/>
      <c r="O144" s="817"/>
      <c r="P144" s="818"/>
      <c r="Q144" s="1168" t="s">
        <v>500</v>
      </c>
      <c r="R144" s="1168" t="s">
        <v>448</v>
      </c>
      <c r="S144" s="1168" t="s">
        <v>8</v>
      </c>
      <c r="T144" s="1168" t="s">
        <v>449</v>
      </c>
      <c r="U144" s="1169"/>
      <c r="V144" s="1415" t="s">
        <v>8</v>
      </c>
      <c r="W144" s="1168" t="s">
        <v>864</v>
      </c>
      <c r="X144" s="1443" t="s">
        <v>626</v>
      </c>
      <c r="Y144" s="1444"/>
    </row>
    <row r="145" spans="1:26" ht="14.5" customHeight="1" x14ac:dyDescent="0.35">
      <c r="B145" s="1170" t="s">
        <v>674</v>
      </c>
      <c r="C145" s="1162"/>
      <c r="D145" s="1162"/>
      <c r="E145" s="1163"/>
      <c r="F145" s="1163"/>
      <c r="G145" s="1163"/>
      <c r="H145" s="1164"/>
      <c r="I145" s="1164"/>
      <c r="J145" s="1164"/>
      <c r="K145" s="1164"/>
      <c r="L145" s="1164"/>
      <c r="M145" s="1164"/>
      <c r="N145" s="1164"/>
      <c r="O145" s="1165"/>
      <c r="P145" s="1104" t="s">
        <v>733</v>
      </c>
      <c r="Q145" s="812">
        <v>500</v>
      </c>
      <c r="R145" s="812">
        <v>0</v>
      </c>
      <c r="S145" s="812">
        <v>0</v>
      </c>
      <c r="T145" s="809">
        <f t="shared" ref="T145:T146" si="68">+Q145+R145-S145</f>
        <v>500</v>
      </c>
      <c r="U145" s="1161"/>
      <c r="V145" s="812">
        <v>0</v>
      </c>
      <c r="W145" s="1403">
        <f>+Q145+R145-V145</f>
        <v>500</v>
      </c>
      <c r="X145" s="1445" t="s">
        <v>675</v>
      </c>
      <c r="Y145" s="1445"/>
    </row>
    <row r="146" spans="1:26" s="46" customFormat="1" x14ac:dyDescent="0.35">
      <c r="A146" s="1018"/>
      <c r="B146" s="1060" t="s">
        <v>720</v>
      </c>
      <c r="C146" s="1060"/>
      <c r="D146" s="1060"/>
      <c r="E146" s="53"/>
      <c r="F146" s="53"/>
      <c r="G146" s="53"/>
      <c r="H146" s="53"/>
      <c r="I146" s="53"/>
      <c r="J146" s="53"/>
      <c r="K146" s="53"/>
      <c r="L146" s="53"/>
      <c r="M146" s="53"/>
      <c r="N146" s="53"/>
      <c r="P146" s="53" t="s">
        <v>733</v>
      </c>
      <c r="Q146" s="50">
        <v>325</v>
      </c>
      <c r="R146" s="50">
        <v>2815</v>
      </c>
      <c r="S146" s="50">
        <v>1851</v>
      </c>
      <c r="T146" s="46">
        <f t="shared" si="68"/>
        <v>1289</v>
      </c>
      <c r="U146" s="334"/>
      <c r="V146" s="50">
        <v>2351</v>
      </c>
      <c r="W146" s="1384">
        <f t="shared" ref="W146:W171" si="69">+Q146+R146-V146</f>
        <v>789</v>
      </c>
      <c r="X146" s="1442" t="s">
        <v>809</v>
      </c>
      <c r="Y146" s="1442"/>
    </row>
    <row r="147" spans="1:26" x14ac:dyDescent="0.35">
      <c r="B147" s="1098" t="s">
        <v>441</v>
      </c>
      <c r="C147" s="1056"/>
      <c r="D147" s="1056"/>
      <c r="E147" s="810"/>
      <c r="F147" s="810"/>
      <c r="G147" s="810"/>
      <c r="H147" s="810"/>
      <c r="I147" s="810"/>
      <c r="J147" s="810"/>
      <c r="K147" s="810"/>
      <c r="L147" s="810"/>
      <c r="M147" s="810"/>
      <c r="N147" s="810"/>
      <c r="O147" s="809"/>
      <c r="P147" s="810" t="s">
        <v>742</v>
      </c>
      <c r="Q147" s="812">
        <v>211.28</v>
      </c>
      <c r="R147" s="812">
        <v>0</v>
      </c>
      <c r="S147" s="812">
        <v>0</v>
      </c>
      <c r="T147" s="809">
        <f t="shared" ref="T147:T171" si="70">+Q147+R147-S147</f>
        <v>211.28</v>
      </c>
      <c r="U147" s="1103"/>
      <c r="V147" s="812">
        <v>0</v>
      </c>
      <c r="W147" s="1404">
        <f t="shared" si="69"/>
        <v>211.28</v>
      </c>
      <c r="X147" s="1441"/>
      <c r="Y147" s="1441"/>
    </row>
    <row r="148" spans="1:26" s="46" customFormat="1" x14ac:dyDescent="0.35">
      <c r="A148" s="1018"/>
      <c r="B148" s="1079" t="s">
        <v>442</v>
      </c>
      <c r="C148" s="1060"/>
      <c r="D148" s="1060"/>
      <c r="E148" s="961"/>
      <c r="F148" s="53"/>
      <c r="G148" s="53"/>
      <c r="H148" s="53"/>
      <c r="I148" s="53"/>
      <c r="J148" s="53"/>
      <c r="K148" s="53"/>
      <c r="L148" s="53"/>
      <c r="M148" s="53"/>
      <c r="N148" s="53"/>
      <c r="P148" s="53" t="s">
        <v>733</v>
      </c>
      <c r="Q148" s="50">
        <v>4151.58</v>
      </c>
      <c r="R148" s="50">
        <v>250</v>
      </c>
      <c r="S148" s="50">
        <v>0</v>
      </c>
      <c r="T148" s="46">
        <f t="shared" si="70"/>
        <v>4401.58</v>
      </c>
      <c r="U148" s="334"/>
      <c r="V148" s="50">
        <v>100</v>
      </c>
      <c r="W148" s="1405">
        <f t="shared" si="69"/>
        <v>4301.58</v>
      </c>
      <c r="X148" s="1446"/>
      <c r="Y148" s="1446"/>
    </row>
    <row r="149" spans="1:26" ht="14.5" customHeight="1" x14ac:dyDescent="0.35">
      <c r="B149" s="1056" t="s">
        <v>676</v>
      </c>
      <c r="C149" s="1056"/>
      <c r="D149" s="1056"/>
      <c r="E149" s="811"/>
      <c r="F149" s="810"/>
      <c r="G149" s="810"/>
      <c r="H149" s="810"/>
      <c r="I149" s="810"/>
      <c r="J149" s="810"/>
      <c r="K149" s="810"/>
      <c r="L149" s="810"/>
      <c r="M149" s="810"/>
      <c r="N149" s="810"/>
      <c r="O149" s="809"/>
      <c r="P149" s="810" t="s">
        <v>733</v>
      </c>
      <c r="Q149" s="812">
        <v>0</v>
      </c>
      <c r="R149" s="812">
        <v>1050</v>
      </c>
      <c r="S149" s="812">
        <v>1050</v>
      </c>
      <c r="T149" s="809">
        <f t="shared" ref="T149" si="71">+Q149+R149-S149</f>
        <v>0</v>
      </c>
      <c r="U149" s="1103"/>
      <c r="V149" s="812">
        <v>1050</v>
      </c>
      <c r="W149" s="1404">
        <f t="shared" si="69"/>
        <v>0</v>
      </c>
      <c r="X149" s="1441" t="s">
        <v>677</v>
      </c>
      <c r="Y149" s="1441"/>
    </row>
    <row r="150" spans="1:26" s="46" customFormat="1" ht="14.5" customHeight="1" x14ac:dyDescent="0.35">
      <c r="A150" s="1018"/>
      <c r="B150" s="1079" t="s">
        <v>443</v>
      </c>
      <c r="C150" s="1060"/>
      <c r="D150" s="1060"/>
      <c r="E150" s="53"/>
      <c r="F150" s="53"/>
      <c r="G150" s="53"/>
      <c r="H150" s="53"/>
      <c r="I150" s="53"/>
      <c r="J150" s="53"/>
      <c r="K150" s="53"/>
      <c r="L150" s="53"/>
      <c r="M150" s="53"/>
      <c r="N150" s="53"/>
      <c r="P150" s="53" t="s">
        <v>733</v>
      </c>
      <c r="Q150" s="50">
        <v>75.58</v>
      </c>
      <c r="R150" s="50">
        <v>0</v>
      </c>
      <c r="S150" s="50">
        <v>0</v>
      </c>
      <c r="T150" s="46">
        <f t="shared" si="70"/>
        <v>75.58</v>
      </c>
      <c r="U150" s="334"/>
      <c r="V150" s="50">
        <v>0</v>
      </c>
      <c r="W150" s="1406">
        <f t="shared" si="69"/>
        <v>75.58</v>
      </c>
      <c r="X150" s="1442" t="s">
        <v>865</v>
      </c>
      <c r="Y150" s="1442"/>
    </row>
    <row r="151" spans="1:26" x14ac:dyDescent="0.35">
      <c r="B151" s="1056" t="s">
        <v>866</v>
      </c>
      <c r="C151" s="1056"/>
      <c r="D151" s="1056"/>
      <c r="E151" s="810"/>
      <c r="F151" s="810"/>
      <c r="G151" s="810"/>
      <c r="H151" s="810"/>
      <c r="I151" s="810"/>
      <c r="J151" s="810"/>
      <c r="K151" s="810"/>
      <c r="L151" s="810"/>
      <c r="M151" s="810"/>
      <c r="N151" s="810"/>
      <c r="O151" s="809"/>
      <c r="P151" s="810" t="s">
        <v>733</v>
      </c>
      <c r="Q151" s="812">
        <v>0</v>
      </c>
      <c r="R151" s="812">
        <v>1300</v>
      </c>
      <c r="S151" s="812">
        <v>732.68</v>
      </c>
      <c r="T151" s="809">
        <f t="shared" ref="T151" si="72">+Q151+R151-S151</f>
        <v>567.32000000000005</v>
      </c>
      <c r="U151" s="1103"/>
      <c r="V151" s="812">
        <v>769.91</v>
      </c>
      <c r="W151" s="1407">
        <f t="shared" si="69"/>
        <v>530.09</v>
      </c>
      <c r="X151" s="1447"/>
      <c r="Y151" s="1447"/>
    </row>
    <row r="152" spans="1:26" s="46" customFormat="1" ht="14.5" customHeight="1" x14ac:dyDescent="0.35">
      <c r="B152" s="1079" t="s">
        <v>444</v>
      </c>
      <c r="C152" s="1060"/>
      <c r="D152" s="1060"/>
      <c r="E152" s="53"/>
      <c r="F152" s="53"/>
      <c r="G152" s="53"/>
      <c r="H152" s="53"/>
      <c r="I152" s="53"/>
      <c r="J152" s="53"/>
      <c r="K152" s="53"/>
      <c r="L152" s="53"/>
      <c r="M152" s="53"/>
      <c r="N152" s="53"/>
      <c r="P152" s="53" t="s">
        <v>745</v>
      </c>
      <c r="Q152" s="50">
        <v>2802.76</v>
      </c>
      <c r="R152" s="50">
        <v>0</v>
      </c>
      <c r="S152" s="50">
        <v>190.39</v>
      </c>
      <c r="T152" s="46">
        <f t="shared" si="70"/>
        <v>2612.3700000000003</v>
      </c>
      <c r="U152" s="334"/>
      <c r="V152" s="50">
        <v>190.39</v>
      </c>
      <c r="W152" s="1406">
        <f t="shared" si="69"/>
        <v>2612.3700000000003</v>
      </c>
      <c r="X152" s="1442" t="s">
        <v>723</v>
      </c>
      <c r="Y152" s="1442"/>
      <c r="Z152" s="13"/>
    </row>
    <row r="153" spans="1:26" ht="14.5" customHeight="1" x14ac:dyDescent="0.35">
      <c r="A153" s="1"/>
      <c r="B153" s="1056" t="s">
        <v>445</v>
      </c>
      <c r="C153" s="1056"/>
      <c r="D153" s="1056"/>
      <c r="E153" s="810"/>
      <c r="F153" s="810"/>
      <c r="G153" s="810"/>
      <c r="H153" s="810"/>
      <c r="I153" s="810"/>
      <c r="J153" s="810"/>
      <c r="K153" s="810"/>
      <c r="L153" s="810"/>
      <c r="M153" s="810"/>
      <c r="N153" s="810"/>
      <c r="O153" s="809"/>
      <c r="P153" s="810" t="s">
        <v>746</v>
      </c>
      <c r="Q153" s="812">
        <v>15393.7</v>
      </c>
      <c r="R153" s="812">
        <v>1394.7</v>
      </c>
      <c r="S153" s="812">
        <v>0</v>
      </c>
      <c r="T153" s="809">
        <f t="shared" si="70"/>
        <v>16788.400000000001</v>
      </c>
      <c r="U153" s="1103"/>
      <c r="V153" s="812">
        <v>0</v>
      </c>
      <c r="W153" s="1407">
        <f t="shared" si="69"/>
        <v>16788.400000000001</v>
      </c>
      <c r="X153" s="1447" t="s">
        <v>678</v>
      </c>
      <c r="Y153" s="1447"/>
    </row>
    <row r="154" spans="1:26" s="46" customFormat="1" x14ac:dyDescent="0.35">
      <c r="B154" s="1060" t="s">
        <v>446</v>
      </c>
      <c r="C154" s="1060"/>
      <c r="D154" s="1060"/>
      <c r="E154" s="53"/>
      <c r="F154" s="53"/>
      <c r="G154" s="53"/>
      <c r="H154" s="53"/>
      <c r="I154" s="53"/>
      <c r="J154" s="53"/>
      <c r="K154" s="53"/>
      <c r="L154" s="53"/>
      <c r="M154" s="53"/>
      <c r="N154" s="53"/>
      <c r="P154" s="53" t="s">
        <v>746</v>
      </c>
      <c r="Q154" s="50">
        <v>3819.8</v>
      </c>
      <c r="R154" s="50">
        <v>0</v>
      </c>
      <c r="S154" s="50">
        <v>0</v>
      </c>
      <c r="T154" s="46">
        <f t="shared" si="70"/>
        <v>3819.8</v>
      </c>
      <c r="U154" s="334"/>
      <c r="V154" s="50">
        <v>0</v>
      </c>
      <c r="W154" s="1406">
        <f t="shared" si="69"/>
        <v>3819.8</v>
      </c>
      <c r="X154" s="1442"/>
      <c r="Y154" s="1442"/>
    </row>
    <row r="155" spans="1:26" x14ac:dyDescent="0.35">
      <c r="B155" s="1056" t="s">
        <v>447</v>
      </c>
      <c r="C155" s="1056"/>
      <c r="D155" s="1056"/>
      <c r="E155" s="810"/>
      <c r="F155" s="810"/>
      <c r="G155" s="810"/>
      <c r="H155" s="810"/>
      <c r="I155" s="810"/>
      <c r="J155" s="810"/>
      <c r="K155" s="810"/>
      <c r="L155" s="810"/>
      <c r="M155" s="810"/>
      <c r="N155" s="810"/>
      <c r="O155" s="809"/>
      <c r="P155" s="810" t="s">
        <v>747</v>
      </c>
      <c r="Q155" s="812">
        <v>5006.84</v>
      </c>
      <c r="R155" s="812">
        <v>50</v>
      </c>
      <c r="S155" s="812">
        <v>164.67</v>
      </c>
      <c r="T155" s="809">
        <f t="shared" si="70"/>
        <v>4892.17</v>
      </c>
      <c r="U155" s="1103"/>
      <c r="V155" s="812">
        <v>164.67</v>
      </c>
      <c r="W155" s="1407">
        <f t="shared" si="69"/>
        <v>4892.17</v>
      </c>
      <c r="X155" s="1447"/>
      <c r="Y155" s="1447"/>
    </row>
    <row r="156" spans="1:26" s="46" customFormat="1" x14ac:dyDescent="0.35">
      <c r="B156" s="1060" t="s">
        <v>112</v>
      </c>
      <c r="C156" s="1060"/>
      <c r="D156" s="1060"/>
      <c r="E156" s="53"/>
      <c r="F156" s="53"/>
      <c r="G156" s="53"/>
      <c r="H156" s="53"/>
      <c r="I156" s="53"/>
      <c r="J156" s="53"/>
      <c r="K156" s="53"/>
      <c r="L156" s="53"/>
      <c r="M156" s="53"/>
      <c r="N156" s="53"/>
      <c r="P156" s="53" t="s">
        <v>740</v>
      </c>
      <c r="Q156" s="50">
        <v>17778.62</v>
      </c>
      <c r="R156" s="50">
        <v>905.93</v>
      </c>
      <c r="S156" s="50">
        <v>0</v>
      </c>
      <c r="T156" s="46">
        <f t="shared" si="70"/>
        <v>18684.55</v>
      </c>
      <c r="U156" s="334"/>
      <c r="V156" s="50">
        <v>0</v>
      </c>
      <c r="W156" s="1406">
        <f t="shared" si="69"/>
        <v>18684.55</v>
      </c>
      <c r="X156" s="1442"/>
      <c r="Y156" s="1442"/>
    </row>
    <row r="157" spans="1:26" x14ac:dyDescent="0.35">
      <c r="A157" s="1"/>
      <c r="B157" s="1056" t="s">
        <v>811</v>
      </c>
      <c r="C157" s="1056"/>
      <c r="D157" s="1056"/>
      <c r="E157" s="810"/>
      <c r="F157" s="810"/>
      <c r="G157" s="810"/>
      <c r="H157" s="810"/>
      <c r="I157" s="810"/>
      <c r="J157" s="810"/>
      <c r="K157" s="810"/>
      <c r="L157" s="810"/>
      <c r="M157" s="810"/>
      <c r="N157" s="810"/>
      <c r="O157" s="809"/>
      <c r="P157" s="810" t="s">
        <v>733</v>
      </c>
      <c r="Q157" s="812">
        <v>1000</v>
      </c>
      <c r="R157" s="812">
        <v>0</v>
      </c>
      <c r="S157" s="812">
        <v>0</v>
      </c>
      <c r="T157" s="809">
        <f t="shared" si="70"/>
        <v>1000</v>
      </c>
      <c r="U157" s="1103"/>
      <c r="V157" s="812">
        <v>0</v>
      </c>
      <c r="W157" s="1385">
        <f t="shared" si="69"/>
        <v>1000</v>
      </c>
      <c r="X157" s="1447" t="s">
        <v>810</v>
      </c>
      <c r="Y157" s="1447"/>
    </row>
    <row r="158" spans="1:26" s="46" customFormat="1" x14ac:dyDescent="0.35">
      <c r="B158" s="1060" t="s">
        <v>451</v>
      </c>
      <c r="C158" s="1060"/>
      <c r="D158" s="1060"/>
      <c r="E158" s="53"/>
      <c r="F158" s="53"/>
      <c r="G158" s="53"/>
      <c r="H158" s="53"/>
      <c r="I158" s="53"/>
      <c r="J158" s="53"/>
      <c r="K158" s="53"/>
      <c r="L158" s="53"/>
      <c r="M158" s="53"/>
      <c r="N158" s="53"/>
      <c r="P158" s="53" t="s">
        <v>746</v>
      </c>
      <c r="Q158" s="50">
        <v>850</v>
      </c>
      <c r="R158" s="50">
        <v>0</v>
      </c>
      <c r="S158" s="50">
        <v>0</v>
      </c>
      <c r="T158" s="46">
        <f t="shared" si="70"/>
        <v>850</v>
      </c>
      <c r="U158" s="334"/>
      <c r="V158" s="50">
        <v>0</v>
      </c>
      <c r="W158" s="1406">
        <f t="shared" si="69"/>
        <v>850</v>
      </c>
      <c r="X158" s="1442"/>
      <c r="Y158" s="1442"/>
    </row>
    <row r="159" spans="1:26" ht="14.5" customHeight="1" x14ac:dyDescent="0.35">
      <c r="A159" s="1"/>
      <c r="B159" s="1056" t="s">
        <v>452</v>
      </c>
      <c r="C159" s="1056"/>
      <c r="D159" s="1056"/>
      <c r="E159" s="810"/>
      <c r="F159" s="810"/>
      <c r="G159" s="810"/>
      <c r="H159" s="810"/>
      <c r="I159" s="810"/>
      <c r="J159" s="810"/>
      <c r="K159" s="810"/>
      <c r="L159" s="810"/>
      <c r="M159" s="810"/>
      <c r="N159" s="810"/>
      <c r="O159" s="809"/>
      <c r="P159" s="810" t="s">
        <v>733</v>
      </c>
      <c r="Q159" s="812">
        <v>1050</v>
      </c>
      <c r="R159" s="812">
        <v>0</v>
      </c>
      <c r="S159" s="812">
        <v>0</v>
      </c>
      <c r="T159" s="809">
        <f t="shared" si="70"/>
        <v>1050</v>
      </c>
      <c r="U159" s="1103"/>
      <c r="V159" s="812">
        <v>0</v>
      </c>
      <c r="W159" s="1407">
        <f t="shared" si="69"/>
        <v>1050</v>
      </c>
      <c r="X159" s="1447" t="s">
        <v>861</v>
      </c>
      <c r="Y159" s="1447"/>
    </row>
    <row r="160" spans="1:26" s="46" customFormat="1" x14ac:dyDescent="0.35">
      <c r="B160" s="1060" t="s">
        <v>453</v>
      </c>
      <c r="C160" s="1060"/>
      <c r="D160" s="1060"/>
      <c r="E160" s="53"/>
      <c r="F160" s="53"/>
      <c r="G160" s="53"/>
      <c r="H160" s="53"/>
      <c r="I160" s="53"/>
      <c r="J160" s="53"/>
      <c r="K160" s="53"/>
      <c r="L160" s="53"/>
      <c r="M160" s="53"/>
      <c r="N160" s="53"/>
      <c r="P160" s="53" t="s">
        <v>748</v>
      </c>
      <c r="Q160" s="50">
        <v>489.94</v>
      </c>
      <c r="R160" s="50">
        <v>0</v>
      </c>
      <c r="S160" s="50">
        <v>0</v>
      </c>
      <c r="T160" s="46">
        <f t="shared" si="70"/>
        <v>489.94</v>
      </c>
      <c r="U160" s="334"/>
      <c r="V160" s="50">
        <v>0</v>
      </c>
      <c r="W160" s="1406">
        <f t="shared" si="69"/>
        <v>489.94</v>
      </c>
      <c r="X160" s="1442"/>
      <c r="Y160" s="1442"/>
    </row>
    <row r="161" spans="1:25" ht="14.5" customHeight="1" x14ac:dyDescent="0.35">
      <c r="A161" s="1"/>
      <c r="B161" s="1056" t="s">
        <v>454</v>
      </c>
      <c r="C161" s="1056"/>
      <c r="D161" s="1056"/>
      <c r="E161" s="810"/>
      <c r="F161" s="810"/>
      <c r="G161" s="810"/>
      <c r="H161" s="810"/>
      <c r="I161" s="810"/>
      <c r="J161" s="810"/>
      <c r="K161" s="810"/>
      <c r="L161" s="810"/>
      <c r="M161" s="810"/>
      <c r="N161" s="810"/>
      <c r="O161" s="809"/>
      <c r="P161" s="810" t="s">
        <v>736</v>
      </c>
      <c r="Q161" s="812">
        <v>2824.7</v>
      </c>
      <c r="R161" s="812">
        <v>0</v>
      </c>
      <c r="S161" s="812">
        <v>0</v>
      </c>
      <c r="T161" s="809">
        <f t="shared" si="70"/>
        <v>2824.7</v>
      </c>
      <c r="U161" s="1103"/>
      <c r="V161" s="812">
        <v>0</v>
      </c>
      <c r="W161" s="1407">
        <f t="shared" si="69"/>
        <v>2824.7</v>
      </c>
      <c r="X161" s="1447" t="s">
        <v>722</v>
      </c>
      <c r="Y161" s="1447"/>
    </row>
    <row r="162" spans="1:25" s="46" customFormat="1" x14ac:dyDescent="0.35">
      <c r="B162" s="1060" t="s">
        <v>679</v>
      </c>
      <c r="C162" s="1060"/>
      <c r="D162" s="1060"/>
      <c r="E162" s="53"/>
      <c r="F162" s="53"/>
      <c r="G162" s="53"/>
      <c r="H162" s="53"/>
      <c r="I162" s="53"/>
      <c r="J162" s="53"/>
      <c r="K162" s="53"/>
      <c r="L162" s="53"/>
      <c r="M162" s="53"/>
      <c r="N162" s="53"/>
      <c r="P162" s="53" t="s">
        <v>736</v>
      </c>
      <c r="Q162" s="50">
        <v>11863.91</v>
      </c>
      <c r="R162" s="50">
        <v>849.99</v>
      </c>
      <c r="S162" s="50">
        <v>450.54</v>
      </c>
      <c r="T162" s="46">
        <f t="shared" ref="T162:T164" si="73">+Q162+R162-S162</f>
        <v>12263.359999999999</v>
      </c>
      <c r="U162" s="334"/>
      <c r="V162" s="50">
        <v>450.54</v>
      </c>
      <c r="W162" s="1406">
        <f t="shared" si="69"/>
        <v>12263.359999999999</v>
      </c>
      <c r="X162" s="1442" t="s">
        <v>862</v>
      </c>
      <c r="Y162" s="1442"/>
    </row>
    <row r="163" spans="1:25" s="46" customFormat="1" ht="14.5" customHeight="1" x14ac:dyDescent="0.35">
      <c r="B163" s="1468" t="s">
        <v>680</v>
      </c>
      <c r="C163" s="1468"/>
      <c r="D163" s="1468"/>
      <c r="E163" s="810"/>
      <c r="F163" s="810"/>
      <c r="G163" s="810"/>
      <c r="H163" s="810"/>
      <c r="I163" s="810"/>
      <c r="J163" s="810"/>
      <c r="K163" s="810"/>
      <c r="L163" s="810"/>
      <c r="M163" s="810"/>
      <c r="N163" s="810"/>
      <c r="O163" s="809"/>
      <c r="P163" s="810" t="s">
        <v>733</v>
      </c>
      <c r="Q163" s="812">
        <v>1264</v>
      </c>
      <c r="R163" s="812">
        <v>0</v>
      </c>
      <c r="S163" s="812">
        <v>100</v>
      </c>
      <c r="T163" s="809">
        <f t="shared" si="73"/>
        <v>1164</v>
      </c>
      <c r="U163" s="1103"/>
      <c r="V163" s="812">
        <v>100</v>
      </c>
      <c r="W163" s="1407">
        <f t="shared" si="69"/>
        <v>1164</v>
      </c>
      <c r="X163" s="1447" t="s">
        <v>681</v>
      </c>
      <c r="Y163" s="1447"/>
    </row>
    <row r="164" spans="1:25" s="46" customFormat="1" ht="14.5" customHeight="1" x14ac:dyDescent="0.35">
      <c r="B164" s="1060" t="s">
        <v>744</v>
      </c>
      <c r="C164" s="1060"/>
      <c r="D164" s="1060"/>
      <c r="E164" s="961"/>
      <c r="F164" s="53"/>
      <c r="G164" s="53"/>
      <c r="H164" s="53"/>
      <c r="I164" s="53"/>
      <c r="J164" s="53"/>
      <c r="K164" s="53"/>
      <c r="L164" s="53"/>
      <c r="M164" s="53"/>
      <c r="N164" s="53"/>
      <c r="P164" s="53" t="s">
        <v>743</v>
      </c>
      <c r="Q164" s="50">
        <v>106</v>
      </c>
      <c r="R164" s="50">
        <v>0</v>
      </c>
      <c r="S164" s="50">
        <v>0</v>
      </c>
      <c r="T164" s="46">
        <f t="shared" si="73"/>
        <v>106</v>
      </c>
      <c r="U164" s="334"/>
      <c r="V164" s="50">
        <v>0</v>
      </c>
      <c r="W164" s="1405">
        <f t="shared" si="69"/>
        <v>106</v>
      </c>
      <c r="X164" s="1446"/>
      <c r="Y164" s="1446"/>
    </row>
    <row r="165" spans="1:25" ht="14.5" customHeight="1" x14ac:dyDescent="0.35">
      <c r="A165" s="1"/>
      <c r="B165" s="1056" t="s">
        <v>682</v>
      </c>
      <c r="C165" s="1056"/>
      <c r="D165" s="1056"/>
      <c r="E165" s="810"/>
      <c r="F165" s="810"/>
      <c r="G165" s="810"/>
      <c r="H165" s="810"/>
      <c r="I165" s="810"/>
      <c r="J165" s="810"/>
      <c r="K165" s="810"/>
      <c r="L165" s="810"/>
      <c r="M165" s="810"/>
      <c r="N165" s="810"/>
      <c r="O165" s="809"/>
      <c r="P165" s="810" t="s">
        <v>739</v>
      </c>
      <c r="Q165" s="812">
        <v>2455.67</v>
      </c>
      <c r="R165" s="812">
        <v>0</v>
      </c>
      <c r="S165" s="812">
        <v>0</v>
      </c>
      <c r="T165" s="809">
        <f t="shared" si="70"/>
        <v>2455.67</v>
      </c>
      <c r="U165" s="1103"/>
      <c r="V165" s="812">
        <v>0</v>
      </c>
      <c r="W165" s="1407">
        <f t="shared" si="69"/>
        <v>2455.67</v>
      </c>
      <c r="X165" s="1447" t="s">
        <v>863</v>
      </c>
      <c r="Y165" s="1447"/>
    </row>
    <row r="166" spans="1:25" s="46" customFormat="1" ht="27.5" customHeight="1" x14ac:dyDescent="0.35">
      <c r="B166" s="1060" t="s">
        <v>825</v>
      </c>
      <c r="C166" s="1060"/>
      <c r="D166" s="1060"/>
      <c r="E166" s="53"/>
      <c r="F166" s="53"/>
      <c r="G166" s="53"/>
      <c r="H166" s="53"/>
      <c r="I166" s="53"/>
      <c r="J166" s="53"/>
      <c r="K166" s="53"/>
      <c r="L166" s="53"/>
      <c r="M166" s="53"/>
      <c r="N166" s="53"/>
      <c r="P166" s="53" t="s">
        <v>733</v>
      </c>
      <c r="Q166" s="50">
        <v>5405.93</v>
      </c>
      <c r="R166" s="50">
        <v>2018.98</v>
      </c>
      <c r="S166" s="50">
        <v>1694.48</v>
      </c>
      <c r="T166" s="46">
        <f t="shared" si="70"/>
        <v>5730.43</v>
      </c>
      <c r="U166" s="334"/>
      <c r="V166" s="50">
        <v>2868</v>
      </c>
      <c r="W166" s="1406">
        <f t="shared" si="69"/>
        <v>4556.91</v>
      </c>
      <c r="X166" s="1442" t="s">
        <v>879</v>
      </c>
      <c r="Y166" s="1442"/>
    </row>
    <row r="167" spans="1:25" ht="14.5" customHeight="1" x14ac:dyDescent="0.35">
      <c r="A167" s="1"/>
      <c r="B167" s="1056" t="s">
        <v>455</v>
      </c>
      <c r="C167" s="1056"/>
      <c r="D167" s="1056"/>
      <c r="E167" s="810"/>
      <c r="F167" s="810"/>
      <c r="G167" s="810"/>
      <c r="H167" s="810"/>
      <c r="I167" s="810"/>
      <c r="J167" s="810"/>
      <c r="K167" s="810"/>
      <c r="L167" s="810"/>
      <c r="M167" s="810"/>
      <c r="N167" s="810"/>
      <c r="O167" s="809"/>
      <c r="P167" s="810" t="s">
        <v>736</v>
      </c>
      <c r="Q167" s="812">
        <v>872.62</v>
      </c>
      <c r="R167" s="812">
        <v>754</v>
      </c>
      <c r="S167" s="812">
        <v>508.25</v>
      </c>
      <c r="T167" s="809">
        <f t="shared" si="70"/>
        <v>1118.3699999999999</v>
      </c>
      <c r="U167" s="1103"/>
      <c r="V167" s="812">
        <v>508.25</v>
      </c>
      <c r="W167" s="1407">
        <f t="shared" si="69"/>
        <v>1118.3699999999999</v>
      </c>
      <c r="X167" s="1447" t="s">
        <v>683</v>
      </c>
      <c r="Y167" s="1447"/>
    </row>
    <row r="168" spans="1:25" s="46" customFormat="1" ht="14.5" customHeight="1" x14ac:dyDescent="0.35">
      <c r="B168" s="1060" t="s">
        <v>456</v>
      </c>
      <c r="C168" s="1060"/>
      <c r="D168" s="1060"/>
      <c r="E168" s="53"/>
      <c r="F168" s="53"/>
      <c r="G168" s="53"/>
      <c r="H168" s="53"/>
      <c r="I168" s="53"/>
      <c r="J168" s="53"/>
      <c r="K168" s="53"/>
      <c r="L168" s="53"/>
      <c r="M168" s="53"/>
      <c r="N168" s="53"/>
      <c r="P168" s="53" t="s">
        <v>342</v>
      </c>
      <c r="Q168" s="50">
        <v>3401.5</v>
      </c>
      <c r="R168" s="50">
        <v>100</v>
      </c>
      <c r="S168" s="50">
        <v>150.84</v>
      </c>
      <c r="T168" s="46">
        <f t="shared" si="70"/>
        <v>3350.66</v>
      </c>
      <c r="U168" s="334"/>
      <c r="V168" s="50">
        <v>224.12</v>
      </c>
      <c r="W168" s="1406">
        <f t="shared" si="69"/>
        <v>3277.38</v>
      </c>
      <c r="X168" s="1442" t="s">
        <v>826</v>
      </c>
      <c r="Y168" s="1442"/>
    </row>
    <row r="169" spans="1:25" x14ac:dyDescent="0.35">
      <c r="A169" s="1"/>
      <c r="B169" s="1056" t="s">
        <v>457</v>
      </c>
      <c r="C169" s="1056"/>
      <c r="D169" s="1056"/>
      <c r="E169" s="810"/>
      <c r="F169" s="810"/>
      <c r="G169" s="810"/>
      <c r="H169" s="810"/>
      <c r="I169" s="810"/>
      <c r="J169" s="810"/>
      <c r="K169" s="810"/>
      <c r="L169" s="810"/>
      <c r="M169" s="810"/>
      <c r="N169" s="810"/>
      <c r="O169" s="809"/>
      <c r="P169" s="810" t="s">
        <v>737</v>
      </c>
      <c r="Q169" s="812">
        <v>154</v>
      </c>
      <c r="R169" s="812">
        <v>1078.8800000000001</v>
      </c>
      <c r="S169" s="812">
        <v>1078.8800000000001</v>
      </c>
      <c r="T169" s="809">
        <f t="shared" si="70"/>
        <v>154</v>
      </c>
      <c r="U169" s="1103"/>
      <c r="V169" s="812">
        <v>1078.8800000000001</v>
      </c>
      <c r="W169" s="809">
        <f t="shared" si="69"/>
        <v>154</v>
      </c>
      <c r="X169" s="1473"/>
      <c r="Y169" s="1473"/>
    </row>
    <row r="170" spans="1:25" s="46" customFormat="1" ht="14.5" customHeight="1" x14ac:dyDescent="0.35">
      <c r="B170" s="1060" t="s">
        <v>458</v>
      </c>
      <c r="C170" s="1060"/>
      <c r="D170" s="1060"/>
      <c r="E170" s="53"/>
      <c r="F170" s="53"/>
      <c r="G170" s="53"/>
      <c r="H170" s="53"/>
      <c r="I170" s="53"/>
      <c r="J170" s="53"/>
      <c r="K170" s="53"/>
      <c r="L170" s="53"/>
      <c r="M170" s="53"/>
      <c r="N170" s="53"/>
      <c r="P170" s="53" t="s">
        <v>740</v>
      </c>
      <c r="Q170" s="50">
        <v>5088.47</v>
      </c>
      <c r="R170" s="50">
        <v>0</v>
      </c>
      <c r="S170" s="50">
        <v>1842</v>
      </c>
      <c r="T170" s="46">
        <f t="shared" si="70"/>
        <v>3246.4700000000003</v>
      </c>
      <c r="U170" s="334"/>
      <c r="V170" s="50">
        <v>1842</v>
      </c>
      <c r="W170" s="1406">
        <f t="shared" si="69"/>
        <v>3246.4700000000003</v>
      </c>
      <c r="X170" s="1442" t="s">
        <v>867</v>
      </c>
      <c r="Y170" s="1442"/>
    </row>
    <row r="171" spans="1:25" ht="15" customHeight="1" thickBot="1" x14ac:dyDescent="0.4">
      <c r="A171" s="1"/>
      <c r="B171" s="1056" t="s">
        <v>459</v>
      </c>
      <c r="C171" s="1056"/>
      <c r="D171" s="1056"/>
      <c r="E171" s="810"/>
      <c r="F171" s="810"/>
      <c r="G171" s="810"/>
      <c r="H171" s="810"/>
      <c r="I171" s="810"/>
      <c r="J171" s="810"/>
      <c r="K171" s="810"/>
      <c r="L171" s="810"/>
      <c r="M171" s="810"/>
      <c r="N171" s="810"/>
      <c r="O171" s="809"/>
      <c r="P171" s="810" t="s">
        <v>843</v>
      </c>
      <c r="Q171" s="812">
        <v>1565.64</v>
      </c>
      <c r="R171" s="812">
        <v>0</v>
      </c>
      <c r="S171" s="812">
        <v>0</v>
      </c>
      <c r="T171" s="809">
        <f t="shared" si="70"/>
        <v>1565.64</v>
      </c>
      <c r="U171" s="1103"/>
      <c r="V171" s="812">
        <v>0</v>
      </c>
      <c r="W171" s="1408">
        <f t="shared" si="69"/>
        <v>1565.64</v>
      </c>
      <c r="X171" s="1480" t="s">
        <v>684</v>
      </c>
      <c r="Y171" s="1480"/>
    </row>
    <row r="172" spans="1:25" ht="15" thickBot="1" x14ac:dyDescent="0.4">
      <c r="B172" s="1099" t="s">
        <v>460</v>
      </c>
      <c r="C172" s="1057"/>
      <c r="D172" s="1057"/>
      <c r="E172" s="818"/>
      <c r="F172" s="818"/>
      <c r="G172" s="818"/>
      <c r="H172" s="818"/>
      <c r="I172" s="818"/>
      <c r="J172" s="818"/>
      <c r="K172" s="818"/>
      <c r="L172" s="818"/>
      <c r="M172" s="818"/>
      <c r="N172" s="818"/>
      <c r="O172" s="817"/>
      <c r="P172" s="818"/>
      <c r="Q172" s="819">
        <f>SUM(Q145:Q171)</f>
        <v>88457.54</v>
      </c>
      <c r="R172" s="819">
        <f>SUM(R145:R171)</f>
        <v>12567.48</v>
      </c>
      <c r="S172" s="819">
        <f>SUM(S145:S171)</f>
        <v>9813.73</v>
      </c>
      <c r="T172" s="819">
        <f>SUM(T145:T171)</f>
        <v>91211.29</v>
      </c>
      <c r="U172" s="817"/>
      <c r="V172" s="819">
        <f>SUM(V145:V171)</f>
        <v>11697.760000000002</v>
      </c>
      <c r="W172" s="819">
        <f>SUM(W145:W171)</f>
        <v>89327.260000000009</v>
      </c>
      <c r="X172" s="817"/>
      <c r="Y172" s="817"/>
    </row>
    <row r="173" spans="1:25" ht="15" thickBot="1" x14ac:dyDescent="0.4"/>
    <row r="174" spans="1:25" ht="29.5" thickBot="1" x14ac:dyDescent="0.4">
      <c r="B174" s="1096" t="s">
        <v>70</v>
      </c>
      <c r="C174" s="1097"/>
      <c r="D174" s="1055"/>
      <c r="E174" s="814"/>
      <c r="F174" s="814"/>
      <c r="G174" s="814"/>
      <c r="H174" s="815"/>
      <c r="I174" s="815"/>
      <c r="J174" s="815"/>
      <c r="K174" s="815"/>
      <c r="L174" s="815"/>
      <c r="M174" s="815"/>
      <c r="N174" s="815"/>
      <c r="O174" s="813"/>
      <c r="P174" s="814"/>
      <c r="Q174" s="816" t="s">
        <v>450</v>
      </c>
      <c r="R174" s="816" t="s">
        <v>448</v>
      </c>
      <c r="S174" s="816" t="s">
        <v>8</v>
      </c>
      <c r="T174" s="816" t="s">
        <v>449</v>
      </c>
      <c r="U174" s="816"/>
      <c r="V174" s="816" t="s">
        <v>8</v>
      </c>
      <c r="W174" s="816" t="s">
        <v>864</v>
      </c>
      <c r="X174" s="816" t="s">
        <v>626</v>
      </c>
      <c r="Y174" s="816"/>
    </row>
    <row r="175" spans="1:25" ht="14.5" customHeight="1" x14ac:dyDescent="0.35">
      <c r="B175" s="1105" t="s">
        <v>461</v>
      </c>
      <c r="C175" s="1064"/>
      <c r="D175" s="1065"/>
      <c r="E175" s="335"/>
      <c r="F175" s="336"/>
      <c r="G175" s="336"/>
      <c r="H175" s="336"/>
      <c r="I175" s="336"/>
      <c r="J175" s="336"/>
      <c r="K175" s="336"/>
      <c r="L175" s="336"/>
      <c r="M175" s="336"/>
      <c r="N175" s="336"/>
      <c r="O175" s="333"/>
      <c r="P175" s="336" t="s">
        <v>752</v>
      </c>
      <c r="Q175" s="337">
        <v>44016.3</v>
      </c>
      <c r="R175" s="337">
        <v>3010</v>
      </c>
      <c r="S175" s="337">
        <v>1078.8800000000001</v>
      </c>
      <c r="T175" s="337">
        <f t="shared" ref="T175:T180" si="74">+Q175+R175-S175</f>
        <v>45947.420000000006</v>
      </c>
      <c r="U175" s="337"/>
      <c r="V175" s="48">
        <v>1537.86</v>
      </c>
      <c r="W175" s="1409">
        <f t="shared" ref="W175:W181" si="75">+Q175+R175-V175</f>
        <v>45488.44</v>
      </c>
      <c r="X175" s="1481"/>
      <c r="Y175" s="1482"/>
    </row>
    <row r="176" spans="1:25" x14ac:dyDescent="0.35">
      <c r="B176" s="1106" t="s">
        <v>306</v>
      </c>
      <c r="C176" s="1107"/>
      <c r="D176" s="1107"/>
      <c r="E176" s="1108"/>
      <c r="F176" s="1104"/>
      <c r="G176" s="1104"/>
      <c r="H176" s="1104"/>
      <c r="I176" s="1104"/>
      <c r="J176" s="1104"/>
      <c r="K176" s="1104"/>
      <c r="L176" s="1104"/>
      <c r="M176" s="1104"/>
      <c r="N176" s="1104"/>
      <c r="O176" s="1103"/>
      <c r="P176" s="1104" t="s">
        <v>753</v>
      </c>
      <c r="Q176" s="1109">
        <v>101904.66</v>
      </c>
      <c r="R176" s="1109">
        <v>0</v>
      </c>
      <c r="S176" s="1109">
        <v>0</v>
      </c>
      <c r="T176" s="1109">
        <f t="shared" si="74"/>
        <v>101904.66</v>
      </c>
      <c r="U176" s="1109"/>
      <c r="V176" s="1412"/>
      <c r="W176" s="1110">
        <f t="shared" si="75"/>
        <v>101904.66</v>
      </c>
      <c r="X176" s="1477"/>
      <c r="Y176" s="1478"/>
    </row>
    <row r="177" spans="2:25" ht="14.5" customHeight="1" x14ac:dyDescent="0.35">
      <c r="B177" s="1105" t="s">
        <v>462</v>
      </c>
      <c r="C177" s="1064"/>
      <c r="D177" s="1065"/>
      <c r="E177" s="335"/>
      <c r="F177" s="336"/>
      <c r="G177" s="336"/>
      <c r="H177" s="336"/>
      <c r="I177" s="336"/>
      <c r="J177" s="336"/>
      <c r="K177" s="336"/>
      <c r="L177" s="336"/>
      <c r="M177" s="336"/>
      <c r="N177" s="336"/>
      <c r="O177" s="333"/>
      <c r="P177" s="335" t="s">
        <v>753</v>
      </c>
      <c r="Q177" s="337">
        <v>366390.33</v>
      </c>
      <c r="R177" s="337">
        <v>3075</v>
      </c>
      <c r="S177" s="337">
        <v>0</v>
      </c>
      <c r="T177" s="337">
        <f t="shared" si="74"/>
        <v>369465.33</v>
      </c>
      <c r="U177" s="337"/>
      <c r="V177" s="48"/>
      <c r="W177" s="1410">
        <f t="shared" si="75"/>
        <v>369465.33</v>
      </c>
      <c r="X177" s="1475" t="s">
        <v>627</v>
      </c>
      <c r="Y177" s="1476"/>
    </row>
    <row r="178" spans="2:25" ht="14.5" customHeight="1" x14ac:dyDescent="0.35">
      <c r="B178" s="1106" t="s">
        <v>628</v>
      </c>
      <c r="C178" s="1107"/>
      <c r="D178" s="1107"/>
      <c r="E178" s="1104"/>
      <c r="F178" s="1104"/>
      <c r="G178" s="1104"/>
      <c r="H178" s="1104"/>
      <c r="I178" s="1104"/>
      <c r="J178" s="1104"/>
      <c r="K178" s="1104"/>
      <c r="L178" s="1104"/>
      <c r="M178" s="1104"/>
      <c r="N178" s="1104"/>
      <c r="O178" s="1103"/>
      <c r="P178" s="1104" t="s">
        <v>753</v>
      </c>
      <c r="Q178" s="1109">
        <v>15000</v>
      </c>
      <c r="R178" s="1109">
        <v>0</v>
      </c>
      <c r="S178" s="1109">
        <v>0</v>
      </c>
      <c r="T178" s="1109">
        <f t="shared" si="74"/>
        <v>15000</v>
      </c>
      <c r="U178" s="1109"/>
      <c r="V178" s="812"/>
      <c r="W178" s="1390">
        <f t="shared" si="75"/>
        <v>15000</v>
      </c>
      <c r="X178" s="1441" t="s">
        <v>629</v>
      </c>
      <c r="Y178" s="1474"/>
    </row>
    <row r="179" spans="2:25" ht="14.5" customHeight="1" x14ac:dyDescent="0.35">
      <c r="B179" s="1105" t="s">
        <v>307</v>
      </c>
      <c r="C179" s="1064"/>
      <c r="D179" s="1065"/>
      <c r="E179" s="335"/>
      <c r="F179" s="336"/>
      <c r="G179" s="336"/>
      <c r="H179" s="336"/>
      <c r="I179" s="336"/>
      <c r="J179" s="336"/>
      <c r="K179" s="336"/>
      <c r="L179" s="336"/>
      <c r="M179" s="336"/>
      <c r="N179" s="336"/>
      <c r="O179" s="333"/>
      <c r="P179" s="335" t="s">
        <v>753</v>
      </c>
      <c r="Q179" s="337">
        <v>53860</v>
      </c>
      <c r="R179" s="337">
        <v>0</v>
      </c>
      <c r="S179" s="337">
        <v>0</v>
      </c>
      <c r="T179" s="337">
        <f t="shared" si="74"/>
        <v>53860</v>
      </c>
      <c r="U179" s="337"/>
      <c r="V179" s="1413"/>
      <c r="W179" s="1410">
        <f t="shared" si="75"/>
        <v>53860</v>
      </c>
      <c r="X179" s="1475"/>
      <c r="Y179" s="1476"/>
    </row>
    <row r="180" spans="2:25" x14ac:dyDescent="0.35">
      <c r="B180" s="1106" t="s">
        <v>630</v>
      </c>
      <c r="C180" s="1107"/>
      <c r="D180" s="1107"/>
      <c r="E180" s="1108"/>
      <c r="F180" s="1104"/>
      <c r="G180" s="1104"/>
      <c r="H180" s="1104"/>
      <c r="I180" s="1104"/>
      <c r="J180" s="1104"/>
      <c r="K180" s="1104"/>
      <c r="L180" s="1104"/>
      <c r="M180" s="1104"/>
      <c r="N180" s="1104"/>
      <c r="O180" s="1103"/>
      <c r="P180" s="1104" t="s">
        <v>754</v>
      </c>
      <c r="Q180" s="1109">
        <v>37352.959999999999</v>
      </c>
      <c r="R180" s="1109">
        <v>0</v>
      </c>
      <c r="S180" s="1109">
        <v>5000</v>
      </c>
      <c r="T180" s="1109">
        <f t="shared" si="74"/>
        <v>32352.959999999999</v>
      </c>
      <c r="U180" s="1109"/>
      <c r="V180" s="1412">
        <v>5000</v>
      </c>
      <c r="W180" s="1110">
        <f t="shared" si="75"/>
        <v>32352.959999999999</v>
      </c>
      <c r="X180" s="1477" t="s">
        <v>868</v>
      </c>
      <c r="Y180" s="1478"/>
    </row>
    <row r="181" spans="2:25" ht="15" thickBot="1" x14ac:dyDescent="0.4">
      <c r="B181" s="1105" t="s">
        <v>812</v>
      </c>
      <c r="C181" s="1064"/>
      <c r="D181" s="1065"/>
      <c r="E181" s="335"/>
      <c r="F181" s="336"/>
      <c r="G181" s="336"/>
      <c r="H181" s="336"/>
      <c r="I181" s="336"/>
      <c r="J181" s="336"/>
      <c r="K181" s="336"/>
      <c r="L181" s="336"/>
      <c r="M181" s="336"/>
      <c r="N181" s="336"/>
      <c r="O181" s="333"/>
      <c r="P181" s="335" t="s">
        <v>754</v>
      </c>
      <c r="Q181" s="337">
        <v>16810</v>
      </c>
      <c r="R181" s="337">
        <v>0</v>
      </c>
      <c r="S181" s="337">
        <v>0</v>
      </c>
      <c r="T181" s="337">
        <f t="shared" ref="T181" si="76">+Q181+R181-S181</f>
        <v>16810</v>
      </c>
      <c r="U181" s="340"/>
      <c r="V181" s="1414"/>
      <c r="W181" s="1338">
        <f t="shared" si="75"/>
        <v>16810</v>
      </c>
      <c r="X181" s="1479" t="s">
        <v>813</v>
      </c>
      <c r="Y181" s="1479"/>
    </row>
    <row r="182" spans="2:25" ht="15" thickBot="1" x14ac:dyDescent="0.4">
      <c r="B182" s="1096" t="s">
        <v>73</v>
      </c>
      <c r="C182" s="1055"/>
      <c r="D182" s="1055"/>
      <c r="E182" s="814"/>
      <c r="F182" s="814"/>
      <c r="G182" s="814"/>
      <c r="H182" s="814"/>
      <c r="I182" s="814"/>
      <c r="J182" s="814"/>
      <c r="K182" s="814"/>
      <c r="L182" s="814"/>
      <c r="M182" s="814"/>
      <c r="N182" s="814"/>
      <c r="O182" s="813"/>
      <c r="P182" s="814"/>
      <c r="Q182" s="1411">
        <f>SUM(Q175:Q181)</f>
        <v>635334.25</v>
      </c>
      <c r="R182" s="1411">
        <f t="shared" ref="R182:W182" si="77">SUM(R175:R181)</f>
        <v>6085</v>
      </c>
      <c r="S182" s="1411">
        <f t="shared" si="77"/>
        <v>6078.88</v>
      </c>
      <c r="T182" s="1411">
        <f t="shared" si="77"/>
        <v>635340.37</v>
      </c>
      <c r="U182" s="1411"/>
      <c r="V182" s="1411">
        <f t="shared" si="77"/>
        <v>6537.86</v>
      </c>
      <c r="W182" s="1411">
        <f t="shared" si="77"/>
        <v>634881.39</v>
      </c>
      <c r="X182" s="1391"/>
      <c r="Y182" s="1392"/>
    </row>
  </sheetData>
  <mergeCells count="56">
    <mergeCell ref="X178:Y178"/>
    <mergeCell ref="X179:Y179"/>
    <mergeCell ref="X180:Y180"/>
    <mergeCell ref="X181:Y181"/>
    <mergeCell ref="X170:Y170"/>
    <mergeCell ref="X171:Y171"/>
    <mergeCell ref="X177:Y177"/>
    <mergeCell ref="X176:Y176"/>
    <mergeCell ref="X175:Y175"/>
    <mergeCell ref="X165:Y165"/>
    <mergeCell ref="X166:Y166"/>
    <mergeCell ref="X167:Y167"/>
    <mergeCell ref="X168:Y168"/>
    <mergeCell ref="X169:Y169"/>
    <mergeCell ref="X151:Y151"/>
    <mergeCell ref="X152:Y152"/>
    <mergeCell ref="X153:Y153"/>
    <mergeCell ref="X154:Y154"/>
    <mergeCell ref="X155:Y155"/>
    <mergeCell ref="V3:W3"/>
    <mergeCell ref="P3:P4"/>
    <mergeCell ref="B163:D163"/>
    <mergeCell ref="C93:D93"/>
    <mergeCell ref="G78:H78"/>
    <mergeCell ref="C123:D123"/>
    <mergeCell ref="G67:H67"/>
    <mergeCell ref="I65:L65"/>
    <mergeCell ref="J67:K67"/>
    <mergeCell ref="X156:Y156"/>
    <mergeCell ref="X157:Y157"/>
    <mergeCell ref="X158:Y158"/>
    <mergeCell ref="X159:Y159"/>
    <mergeCell ref="X160:Y160"/>
    <mergeCell ref="X161:Y161"/>
    <mergeCell ref="X162:Y162"/>
    <mergeCell ref="X163:Y163"/>
    <mergeCell ref="X164:Y164"/>
    <mergeCell ref="B1:Y1"/>
    <mergeCell ref="O67:O68"/>
    <mergeCell ref="Q2:T2"/>
    <mergeCell ref="V2:X2"/>
    <mergeCell ref="S3:T3"/>
    <mergeCell ref="X3:X4"/>
    <mergeCell ref="Q3:Q4"/>
    <mergeCell ref="R3:R4"/>
    <mergeCell ref="E65:H65"/>
    <mergeCell ref="E63:M63"/>
    <mergeCell ref="G68:H68"/>
    <mergeCell ref="C27:D27"/>
    <mergeCell ref="X149:Y149"/>
    <mergeCell ref="X150:Y150"/>
    <mergeCell ref="X144:Y144"/>
    <mergeCell ref="X145:Y145"/>
    <mergeCell ref="X146:Y146"/>
    <mergeCell ref="X147:Y147"/>
    <mergeCell ref="X148:Y148"/>
  </mergeCells>
  <pageMargins left="0" right="0" top="0.25" bottom="0.5" header="0.3" footer="0.3"/>
  <pageSetup scale="67" fitToHeight="0" orientation="landscape" r:id="rId1"/>
  <headerFooter>
    <oddFooter>&amp;C&amp;P of &amp;N&amp;R&amp;D</oddFooter>
  </headerFooter>
  <rowBreaks count="1" manualBreakCount="1">
    <brk id="14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2" customWidth="1"/>
    <col min="4" max="4" width="15.7265625" style="299" customWidth="1"/>
    <col min="5" max="5" width="10.1796875" style="299" customWidth="1"/>
    <col min="6" max="6" width="13.90625" style="299" customWidth="1"/>
    <col min="7" max="7" width="11.26953125" style="322"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488" t="s">
        <v>79</v>
      </c>
      <c r="B1" s="1488"/>
      <c r="C1" s="1488"/>
      <c r="D1" s="1488"/>
      <c r="E1" s="1488"/>
      <c r="F1" s="1488"/>
      <c r="G1" s="1488"/>
      <c r="H1" s="1488"/>
      <c r="I1" s="1488"/>
    </row>
    <row r="2" spans="1:9" ht="18.5" customHeight="1" x14ac:dyDescent="0.35">
      <c r="A2" s="1489" t="s">
        <v>337</v>
      </c>
      <c r="B2" s="1489"/>
      <c r="C2" s="1489"/>
      <c r="D2" s="1489"/>
      <c r="E2" s="1489"/>
      <c r="F2" s="1489"/>
      <c r="G2" s="1489"/>
      <c r="H2" s="1489"/>
      <c r="I2" s="1489"/>
    </row>
    <row r="3" spans="1:9" ht="18.5" customHeight="1" thickBot="1" x14ac:dyDescent="0.4">
      <c r="A3" s="614"/>
      <c r="B3" s="614"/>
      <c r="C3" s="614"/>
      <c r="D3" s="614"/>
      <c r="E3" s="614"/>
      <c r="F3" s="614"/>
      <c r="G3" s="1489"/>
      <c r="H3" s="1489"/>
      <c r="I3" s="614"/>
    </row>
    <row r="4" spans="1:9" ht="18.5" customHeight="1" x14ac:dyDescent="0.35">
      <c r="A4" s="1490" t="s">
        <v>336</v>
      </c>
      <c r="B4" s="1491"/>
      <c r="C4" s="1491"/>
      <c r="D4" s="1491"/>
      <c r="E4" s="653"/>
      <c r="F4" s="1492" t="str">
        <f>+'New Year-Full Year'!Q3&amp;" Proposed"</f>
        <v>2026 Budget Proposed</v>
      </c>
      <c r="G4" s="1492" t="str">
        <f>+'New Year-Full Year'!Q3&amp;" Current"</f>
        <v>2026 Budget Current</v>
      </c>
      <c r="H4" s="1492" t="str">
        <f>+'New Year-Full Year'!R3</f>
        <v>2025 Budget</v>
      </c>
      <c r="I4" s="654"/>
    </row>
    <row r="5" spans="1:9" ht="38" customHeight="1" thickBot="1" x14ac:dyDescent="0.4">
      <c r="A5" s="655"/>
      <c r="B5" s="656" t="s">
        <v>340</v>
      </c>
      <c r="C5" s="657" t="s">
        <v>345</v>
      </c>
      <c r="D5" s="658" t="s">
        <v>341</v>
      </c>
      <c r="E5" s="658"/>
      <c r="F5" s="1493"/>
      <c r="G5" s="1493"/>
      <c r="H5" s="1493"/>
      <c r="I5" s="659" t="s">
        <v>353</v>
      </c>
    </row>
    <row r="6" spans="1:9" ht="18.5" customHeight="1" x14ac:dyDescent="0.35">
      <c r="A6" s="662" t="s">
        <v>287</v>
      </c>
      <c r="B6" s="663" t="s">
        <v>342</v>
      </c>
      <c r="C6" s="664" t="s">
        <v>346</v>
      </c>
      <c r="D6" s="1499" t="s">
        <v>100</v>
      </c>
      <c r="E6" s="1499"/>
      <c r="F6" s="640">
        <f>ROUND(+H6*1.01,0)-13</f>
        <v>17983</v>
      </c>
      <c r="G6" s="665">
        <f>+'New Year-Full Year'!Q89</f>
        <v>17818</v>
      </c>
      <c r="H6" s="665">
        <f>+'New Year-Full Year'!R89</f>
        <v>17818</v>
      </c>
      <c r="I6" s="1483" t="s">
        <v>365</v>
      </c>
    </row>
    <row r="7" spans="1:9" ht="18.5" customHeight="1" x14ac:dyDescent="0.35">
      <c r="A7" s="666"/>
      <c r="B7" s="642" t="s">
        <v>338</v>
      </c>
      <c r="C7" s="642"/>
      <c r="D7" s="1495"/>
      <c r="E7" s="1495"/>
      <c r="F7" s="643">
        <f>+F6-$H6</f>
        <v>165</v>
      </c>
      <c r="G7" s="644">
        <f>+G6-$H6</f>
        <v>0</v>
      </c>
      <c r="H7" s="642"/>
      <c r="I7" s="1484"/>
    </row>
    <row r="8" spans="1:9" ht="16" thickBot="1" x14ac:dyDescent="0.4">
      <c r="A8" s="312"/>
      <c r="B8" s="304" t="s">
        <v>344</v>
      </c>
      <c r="C8" s="645"/>
      <c r="D8" s="1496"/>
      <c r="E8" s="1496"/>
      <c r="F8" s="685">
        <f>+F7/$H6</f>
        <v>9.2602985744752505E-3</v>
      </c>
      <c r="G8" s="646">
        <f>+G7/$H6</f>
        <v>0</v>
      </c>
      <c r="H8" s="304"/>
      <c r="I8" s="1485"/>
    </row>
    <row r="9" spans="1:9" ht="18.5" customHeight="1" x14ac:dyDescent="0.35">
      <c r="A9" s="667" t="s">
        <v>288</v>
      </c>
      <c r="B9" s="639" t="s">
        <v>343</v>
      </c>
      <c r="C9" s="638" t="s">
        <v>346</v>
      </c>
      <c r="D9" s="1494" t="s">
        <v>360</v>
      </c>
      <c r="E9" s="1494"/>
      <c r="F9" s="640">
        <f>ROUND(+H9*1.01,0)</f>
        <v>3497</v>
      </c>
      <c r="G9" s="641">
        <f>+'New Year-Full Year'!Q90</f>
        <v>3566</v>
      </c>
      <c r="H9" s="641">
        <f>+'New Year-Full Year'!R90</f>
        <v>3462</v>
      </c>
      <c r="I9" s="1483" t="s">
        <v>365</v>
      </c>
    </row>
    <row r="10" spans="1:9" ht="18.5" customHeight="1" x14ac:dyDescent="0.35">
      <c r="A10" s="666"/>
      <c r="B10" s="642" t="s">
        <v>338</v>
      </c>
      <c r="C10" s="642"/>
      <c r="D10" s="1495"/>
      <c r="E10" s="1495"/>
      <c r="F10" s="643">
        <f>+F9-$H9</f>
        <v>35</v>
      </c>
      <c r="G10" s="644">
        <f>+G9-$H9</f>
        <v>104</v>
      </c>
      <c r="H10" s="642"/>
      <c r="I10" s="1484"/>
    </row>
    <row r="11" spans="1:9" x14ac:dyDescent="0.35">
      <c r="A11" s="312"/>
      <c r="B11" s="304" t="s">
        <v>344</v>
      </c>
      <c r="C11" s="645"/>
      <c r="D11" s="1496"/>
      <c r="E11" s="1496"/>
      <c r="F11" s="646">
        <f>+F10/$H9</f>
        <v>1.0109763142692086E-2</v>
      </c>
      <c r="G11" s="646">
        <f>+G10/$H9</f>
        <v>3.0040439052570769E-2</v>
      </c>
      <c r="H11" s="304"/>
      <c r="I11" s="1485"/>
    </row>
    <row r="12" spans="1:9" ht="18.5" customHeight="1" x14ac:dyDescent="0.35">
      <c r="A12" s="667" t="s">
        <v>289</v>
      </c>
      <c r="B12" s="639" t="s">
        <v>242</v>
      </c>
      <c r="C12" s="638" t="s">
        <v>346</v>
      </c>
      <c r="D12" s="1494" t="s">
        <v>42</v>
      </c>
      <c r="E12" s="1494"/>
      <c r="F12" s="640">
        <v>7634</v>
      </c>
      <c r="G12" s="641" t="e">
        <f>+'New Year-Full Year'!#REF!</f>
        <v>#REF!</v>
      </c>
      <c r="H12" s="641" t="e">
        <f>+'New Year-Full Year'!#REF!</f>
        <v>#REF!</v>
      </c>
      <c r="I12" s="1486" t="s">
        <v>354</v>
      </c>
    </row>
    <row r="13" spans="1:9" ht="18.5" customHeight="1" x14ac:dyDescent="0.35">
      <c r="A13" s="666"/>
      <c r="B13" s="642" t="s">
        <v>338</v>
      </c>
      <c r="C13" s="642"/>
      <c r="D13" s="1495"/>
      <c r="E13" s="1495"/>
      <c r="F13" s="643" t="e">
        <f>+F12-$H12</f>
        <v>#REF!</v>
      </c>
      <c r="G13" s="644" t="e">
        <f>+G12-$H12</f>
        <v>#REF!</v>
      </c>
      <c r="H13" s="642"/>
      <c r="I13" s="1484"/>
    </row>
    <row r="14" spans="1:9" ht="16" thickBot="1" x14ac:dyDescent="0.4">
      <c r="A14" s="307"/>
      <c r="B14" s="308" t="s">
        <v>344</v>
      </c>
      <c r="C14" s="668"/>
      <c r="D14" s="1500"/>
      <c r="E14" s="1500"/>
      <c r="F14" s="669" t="e">
        <f>+F13/$H12</f>
        <v>#REF!</v>
      </c>
      <c r="G14" s="669" t="e">
        <f>+G13/$H12</f>
        <v>#REF!</v>
      </c>
      <c r="H14" s="308"/>
      <c r="I14" s="1487"/>
    </row>
    <row r="15" spans="1:9" ht="16" thickBot="1" x14ac:dyDescent="0.4"/>
    <row r="16" spans="1:9" ht="18.5" customHeight="1" x14ac:dyDescent="0.35">
      <c r="A16" s="1490" t="s">
        <v>348</v>
      </c>
      <c r="B16" s="1491"/>
      <c r="C16" s="1491"/>
      <c r="D16" s="1491"/>
      <c r="E16" s="653"/>
      <c r="F16" s="1492" t="str">
        <f>+F$4</f>
        <v>2026 Budget Proposed</v>
      </c>
      <c r="G16" s="1492" t="str">
        <f>+G$4</f>
        <v>2026 Budget Current</v>
      </c>
      <c r="H16" s="1492" t="str">
        <f>+H$4</f>
        <v>2025 Budget</v>
      </c>
      <c r="I16" s="654"/>
    </row>
    <row r="17" spans="1:11" ht="38" customHeight="1" thickBot="1" x14ac:dyDescent="0.4">
      <c r="A17" s="655"/>
      <c r="B17" s="656" t="s">
        <v>340</v>
      </c>
      <c r="C17" s="657" t="s">
        <v>349</v>
      </c>
      <c r="D17" s="1493" t="s">
        <v>350</v>
      </c>
      <c r="E17" s="1493"/>
      <c r="F17" s="1493"/>
      <c r="G17" s="1493"/>
      <c r="H17" s="1493"/>
      <c r="I17" s="659" t="str">
        <f>+I$5</f>
        <v>Notes / Rational for change</v>
      </c>
    </row>
    <row r="18" spans="1:11" x14ac:dyDescent="0.35">
      <c r="A18" s="666" t="s">
        <v>287</v>
      </c>
      <c r="B18" s="613" t="s">
        <v>347</v>
      </c>
      <c r="C18" s="660">
        <v>25</v>
      </c>
      <c r="D18" s="651" t="s">
        <v>351</v>
      </c>
      <c r="E18" s="671">
        <v>13.78</v>
      </c>
      <c r="F18" s="661">
        <f>+$C18*$E18*52</f>
        <v>17914</v>
      </c>
      <c r="G18" s="661">
        <f>+$C18*$E19*52</f>
        <v>17914</v>
      </c>
      <c r="H18" s="661">
        <f>+$C18*$E20*52</f>
        <v>17732</v>
      </c>
      <c r="I18" s="1484" t="s">
        <v>366</v>
      </c>
      <c r="K18" s="303"/>
    </row>
    <row r="19" spans="1:11" x14ac:dyDescent="0.35">
      <c r="A19" s="666"/>
      <c r="B19" s="642" t="s">
        <v>338</v>
      </c>
      <c r="C19" s="647"/>
      <c r="D19" s="651" t="s">
        <v>352</v>
      </c>
      <c r="E19" s="671">
        <v>13.78</v>
      </c>
      <c r="F19" s="643">
        <f>+F18-$H18</f>
        <v>182</v>
      </c>
      <c r="G19" s="644">
        <f>+G18-$H18</f>
        <v>182</v>
      </c>
      <c r="H19" s="302"/>
      <c r="I19" s="1484"/>
    </row>
    <row r="20" spans="1:11" x14ac:dyDescent="0.35">
      <c r="A20" s="312"/>
      <c r="B20" s="304" t="s">
        <v>344</v>
      </c>
      <c r="C20" s="645"/>
      <c r="D20" s="652" t="s">
        <v>221</v>
      </c>
      <c r="E20" s="672">
        <v>13.64</v>
      </c>
      <c r="F20" s="646">
        <f>+F19/$H18</f>
        <v>1.0263929618768328E-2</v>
      </c>
      <c r="G20" s="646">
        <f>+G19/$H18</f>
        <v>1.0263929618768328E-2</v>
      </c>
      <c r="H20" s="304"/>
      <c r="I20" s="1485"/>
    </row>
    <row r="21" spans="1:11" x14ac:dyDescent="0.35">
      <c r="A21" s="667" t="s">
        <v>288</v>
      </c>
      <c r="B21" s="639" t="s">
        <v>355</v>
      </c>
      <c r="C21" s="649">
        <v>20</v>
      </c>
      <c r="D21" s="650" t="s">
        <v>351</v>
      </c>
      <c r="E21" s="673">
        <v>11.57</v>
      </c>
      <c r="F21" s="661">
        <f>+$C21*$E21*52</f>
        <v>12032.800000000001</v>
      </c>
      <c r="G21" s="661">
        <f>+$C21*$E22*52</f>
        <v>12157.599999999999</v>
      </c>
      <c r="H21" s="661">
        <f>+$C21*$E23*52</f>
        <v>12032.800000000001</v>
      </c>
      <c r="I21" s="1486" t="s">
        <v>357</v>
      </c>
    </row>
    <row r="22" spans="1:11" x14ac:dyDescent="0.35">
      <c r="A22" s="666"/>
      <c r="B22" s="642" t="s">
        <v>338</v>
      </c>
      <c r="C22" s="647"/>
      <c r="D22" s="651" t="s">
        <v>352</v>
      </c>
      <c r="E22" s="671">
        <v>11.69</v>
      </c>
      <c r="F22" s="643">
        <f>+F21-$H21</f>
        <v>0</v>
      </c>
      <c r="G22" s="644">
        <f>+G21-$H21</f>
        <v>124.79999999999745</v>
      </c>
      <c r="H22" s="302"/>
      <c r="I22" s="1484"/>
    </row>
    <row r="23" spans="1:11" x14ac:dyDescent="0.35">
      <c r="A23" s="312"/>
      <c r="B23" s="304" t="s">
        <v>344</v>
      </c>
      <c r="C23" s="645"/>
      <c r="D23" s="652" t="s">
        <v>221</v>
      </c>
      <c r="E23" s="672">
        <v>11.57</v>
      </c>
      <c r="F23" s="646">
        <f>+F22/$H21</f>
        <v>0</v>
      </c>
      <c r="G23" s="646">
        <f>+G22/$H21</f>
        <v>1.0371650821088811E-2</v>
      </c>
      <c r="H23" s="304"/>
      <c r="I23" s="1485"/>
    </row>
    <row r="24" spans="1:11" ht="15.5" customHeight="1" x14ac:dyDescent="0.35">
      <c r="A24" s="667" t="s">
        <v>289</v>
      </c>
      <c r="B24" s="639" t="s">
        <v>356</v>
      </c>
      <c r="C24" s="649">
        <v>7.5</v>
      </c>
      <c r="D24" s="650" t="s">
        <v>351</v>
      </c>
      <c r="E24" s="673">
        <v>11.22</v>
      </c>
      <c r="F24" s="661">
        <f>+$C24*$E24*52</f>
        <v>4375.8</v>
      </c>
      <c r="G24" s="661">
        <f>+$C24*$E25*52</f>
        <v>4418.7</v>
      </c>
      <c r="H24" s="661">
        <f>+$C24*$E26*52</f>
        <v>4375.8</v>
      </c>
      <c r="I24" s="1486" t="s">
        <v>357</v>
      </c>
    </row>
    <row r="25" spans="1:11" x14ac:dyDescent="0.35">
      <c r="A25" s="666"/>
      <c r="B25" s="642" t="s">
        <v>338</v>
      </c>
      <c r="C25" s="647"/>
      <c r="D25" s="651" t="s">
        <v>352</v>
      </c>
      <c r="E25" s="671">
        <v>11.33</v>
      </c>
      <c r="F25" s="643">
        <f>+F24-$H24</f>
        <v>0</v>
      </c>
      <c r="G25" s="644">
        <f>+G24-$H24</f>
        <v>42.899999999999636</v>
      </c>
      <c r="H25" s="302"/>
      <c r="I25" s="1484"/>
    </row>
    <row r="26" spans="1:11" x14ac:dyDescent="0.35">
      <c r="A26" s="312"/>
      <c r="B26" s="304" t="s">
        <v>344</v>
      </c>
      <c r="C26" s="645"/>
      <c r="D26" s="652" t="s">
        <v>221</v>
      </c>
      <c r="E26" s="672">
        <v>11.22</v>
      </c>
      <c r="F26" s="646">
        <f>+F25/$H24</f>
        <v>0</v>
      </c>
      <c r="G26" s="646">
        <f>+G25/$H24</f>
        <v>9.8039215686273676E-3</v>
      </c>
      <c r="H26" s="304"/>
      <c r="I26" s="1485"/>
    </row>
    <row r="27" spans="1:11" ht="18.5" customHeight="1" x14ac:dyDescent="0.35">
      <c r="A27" s="667" t="s">
        <v>292</v>
      </c>
      <c r="B27" s="639" t="s">
        <v>339</v>
      </c>
      <c r="C27" s="649">
        <v>40</v>
      </c>
      <c r="D27" s="650" t="s">
        <v>351</v>
      </c>
      <c r="E27" s="673">
        <f>ROUND(+E29*1.02,2)</f>
        <v>17.690000000000001</v>
      </c>
      <c r="F27" s="661">
        <f>+$C27*$E27*52</f>
        <v>36795.200000000004</v>
      </c>
      <c r="G27" s="661">
        <f>+$C27*$E28*52</f>
        <v>36420.800000000003</v>
      </c>
      <c r="H27" s="661">
        <f>+$C27*$E29*52</f>
        <v>36067.200000000004</v>
      </c>
      <c r="I27" s="1486" t="s">
        <v>359</v>
      </c>
    </row>
    <row r="28" spans="1:11" ht="18.5" customHeight="1" x14ac:dyDescent="0.35">
      <c r="A28" s="666"/>
      <c r="B28" s="642" t="s">
        <v>338</v>
      </c>
      <c r="C28" s="647"/>
      <c r="D28" s="651" t="s">
        <v>352</v>
      </c>
      <c r="E28" s="671">
        <v>17.510000000000002</v>
      </c>
      <c r="F28" s="643">
        <f>+F27-$H27</f>
        <v>728</v>
      </c>
      <c r="G28" s="644">
        <f>+G27-$H27</f>
        <v>353.59999999999854</v>
      </c>
      <c r="H28" s="302"/>
      <c r="I28" s="1484"/>
    </row>
    <row r="29" spans="1:11" x14ac:dyDescent="0.35">
      <c r="A29" s="312"/>
      <c r="B29" s="304" t="s">
        <v>344</v>
      </c>
      <c r="C29" s="645"/>
      <c r="D29" s="652" t="s">
        <v>221</v>
      </c>
      <c r="E29" s="672">
        <v>17.34</v>
      </c>
      <c r="F29" s="646">
        <f>+F28/$H27</f>
        <v>2.0184544405997689E-2</v>
      </c>
      <c r="G29" s="646">
        <f>+G28/$H27</f>
        <v>9.8039215686274092E-3</v>
      </c>
      <c r="H29" s="304"/>
      <c r="I29" s="1485"/>
    </row>
    <row r="30" spans="1:11" ht="18.5" customHeight="1" x14ac:dyDescent="0.35">
      <c r="A30" s="666" t="s">
        <v>293</v>
      </c>
      <c r="B30" s="613" t="s">
        <v>358</v>
      </c>
      <c r="C30" s="660">
        <v>15</v>
      </c>
      <c r="D30" s="651" t="s">
        <v>351</v>
      </c>
      <c r="E30" s="671">
        <f>ROUND(+E32*(1+0),2)</f>
        <v>14.57</v>
      </c>
      <c r="F30" s="661">
        <f>+$C30*$E30*52</f>
        <v>11364.6</v>
      </c>
      <c r="G30" s="661">
        <f>+$C30*$E31*52</f>
        <v>11481.6</v>
      </c>
      <c r="H30" s="661">
        <f>+$C30*$E32*52</f>
        <v>11364.6</v>
      </c>
      <c r="I30" s="1484" t="s">
        <v>357</v>
      </c>
    </row>
    <row r="31" spans="1:11" ht="18.5" customHeight="1" x14ac:dyDescent="0.35">
      <c r="A31" s="666"/>
      <c r="B31" s="642" t="s">
        <v>338</v>
      </c>
      <c r="C31" s="647"/>
      <c r="D31" s="651" t="s">
        <v>352</v>
      </c>
      <c r="E31" s="671">
        <v>14.72</v>
      </c>
      <c r="F31" s="643">
        <f>+F30-$H30</f>
        <v>0</v>
      </c>
      <c r="G31" s="644">
        <f>+G30-$H30</f>
        <v>117</v>
      </c>
      <c r="H31" s="302"/>
      <c r="I31" s="1484"/>
    </row>
    <row r="32" spans="1:11" ht="16" thickBot="1" x14ac:dyDescent="0.4">
      <c r="A32" s="307"/>
      <c r="B32" s="308" t="s">
        <v>344</v>
      </c>
      <c r="C32" s="668"/>
      <c r="D32" s="680" t="s">
        <v>221</v>
      </c>
      <c r="E32" s="681">
        <v>14.57</v>
      </c>
      <c r="F32" s="684">
        <f>+F31/$H30</f>
        <v>0</v>
      </c>
      <c r="G32" s="669">
        <f>+G31/$H30</f>
        <v>1.029512697323267E-2</v>
      </c>
      <c r="H32" s="308"/>
      <c r="I32" s="1487"/>
    </row>
    <row r="33" spans="1:9" ht="16" thickBot="1" x14ac:dyDescent="0.4">
      <c r="A33" s="302"/>
      <c r="B33" s="302"/>
      <c r="C33" s="647"/>
      <c r="D33" s="651"/>
      <c r="E33" s="671"/>
      <c r="F33" s="648"/>
      <c r="G33" s="648"/>
      <c r="H33" s="302"/>
      <c r="I33" s="670"/>
    </row>
    <row r="34" spans="1:9" ht="18" x14ac:dyDescent="0.35">
      <c r="A34" s="1490" t="s">
        <v>299</v>
      </c>
      <c r="B34" s="1491"/>
      <c r="C34" s="1491"/>
      <c r="D34" s="1491"/>
      <c r="E34" s="1491"/>
      <c r="F34" s="1492" t="str">
        <f>+F$4</f>
        <v>2026 Budget Proposed</v>
      </c>
      <c r="G34" s="1492" t="str">
        <f>+G$4</f>
        <v>2026 Budget Current</v>
      </c>
      <c r="H34" s="1492" t="str">
        <f>+H$4</f>
        <v>2025 Budget</v>
      </c>
      <c r="I34" s="654"/>
    </row>
    <row r="35" spans="1:9" ht="34" customHeight="1" thickBot="1" x14ac:dyDescent="0.4">
      <c r="A35" s="1497"/>
      <c r="B35" s="1498"/>
      <c r="C35" s="1498"/>
      <c r="D35" s="1498"/>
      <c r="E35" s="1498"/>
      <c r="F35" s="1493"/>
      <c r="G35" s="1493"/>
      <c r="H35" s="1493"/>
      <c r="I35" s="659" t="str">
        <f>+I$5</f>
        <v>Notes / Rational for change</v>
      </c>
    </row>
    <row r="36" spans="1:9" x14ac:dyDescent="0.35">
      <c r="A36" s="312" t="s">
        <v>361</v>
      </c>
      <c r="B36" s="304"/>
      <c r="C36" s="645"/>
      <c r="D36" s="304"/>
      <c r="E36" s="304"/>
      <c r="F36" s="677">
        <f>+G36</f>
        <v>14264</v>
      </c>
      <c r="G36" s="677">
        <f>3650+10614</f>
        <v>14264</v>
      </c>
      <c r="H36" s="677">
        <f>3501+12642+1</f>
        <v>16144</v>
      </c>
      <c r="I36" s="313"/>
    </row>
    <row r="37" spans="1:9" x14ac:dyDescent="0.35">
      <c r="A37" s="678" t="s">
        <v>45</v>
      </c>
      <c r="B37" s="674"/>
      <c r="C37" s="675"/>
      <c r="D37" s="674"/>
      <c r="E37" s="674"/>
      <c r="F37" s="676">
        <f>+G37</f>
        <v>30259</v>
      </c>
      <c r="G37" s="676">
        <f>800+500+13800+3000+3375+1500+2759+1000+400+700+925+1500</f>
        <v>30259</v>
      </c>
      <c r="H37" s="676">
        <f>800+500+13800+3000+3375+1500+2759+1000+400+700+925+1500</f>
        <v>30259</v>
      </c>
      <c r="I37" s="679" t="s">
        <v>363</v>
      </c>
    </row>
    <row r="38" spans="1:9" x14ac:dyDescent="0.35">
      <c r="A38" s="1502" t="s">
        <v>362</v>
      </c>
      <c r="B38" s="1503"/>
      <c r="C38" s="649"/>
      <c r="D38" s="650"/>
      <c r="E38" s="673"/>
      <c r="F38" s="683">
        <f>+G38</f>
        <v>188497</v>
      </c>
      <c r="G38" s="683">
        <f>102099+86398</f>
        <v>188497</v>
      </c>
      <c r="H38" s="683">
        <f>100670+48251+18950+8843</f>
        <v>176714</v>
      </c>
      <c r="I38" s="1486" t="s">
        <v>364</v>
      </c>
    </row>
    <row r="39" spans="1:9" x14ac:dyDescent="0.35">
      <c r="A39" s="666"/>
      <c r="B39" s="642"/>
      <c r="C39" s="647"/>
      <c r="D39" s="651"/>
      <c r="E39" s="671"/>
      <c r="F39" s="643">
        <f>+F38-$H38</f>
        <v>11783</v>
      </c>
      <c r="G39" s="644">
        <f>+G38-$H38</f>
        <v>11783</v>
      </c>
      <c r="H39" s="302"/>
      <c r="I39" s="1484"/>
    </row>
    <row r="40" spans="1:9" ht="16" thickBot="1" x14ac:dyDescent="0.4">
      <c r="A40" s="307"/>
      <c r="B40" s="308"/>
      <c r="C40" s="668"/>
      <c r="D40" s="680"/>
      <c r="E40" s="681"/>
      <c r="F40" s="669">
        <f>+F39/$H38</f>
        <v>6.667836164650226E-2</v>
      </c>
      <c r="G40" s="669">
        <f>+G39/$H38</f>
        <v>6.667836164650226E-2</v>
      </c>
      <c r="H40" s="308"/>
      <c r="I40" s="1487"/>
    </row>
    <row r="41" spans="1:9" ht="16" thickBot="1" x14ac:dyDescent="0.4"/>
    <row r="42" spans="1:9" ht="18" x14ac:dyDescent="0.35">
      <c r="A42" s="1490" t="s">
        <v>52</v>
      </c>
      <c r="B42" s="1491"/>
      <c r="C42" s="1491"/>
      <c r="D42" s="1491"/>
      <c r="E42" s="1491"/>
      <c r="F42" s="1501">
        <f>+F6+F9+F12+F18+F21+F24+F27+F30+F36+F37+F38</f>
        <v>344616.4</v>
      </c>
      <c r="G42" s="1501" t="e">
        <f>+G6+G9+G12+G18+G21+G24+G27+G30+G36+G37+G38</f>
        <v>#REF!</v>
      </c>
      <c r="H42" s="1501" t="e">
        <f>+H6+H9+H12+H18+H21+H24+H27+H30+H36+H37+H38</f>
        <v>#REF!</v>
      </c>
      <c r="I42" s="654"/>
    </row>
    <row r="43" spans="1:9" ht="18.5" thickBot="1" x14ac:dyDescent="0.4">
      <c r="A43" s="1497"/>
      <c r="B43" s="1498"/>
      <c r="C43" s="1498"/>
      <c r="D43" s="1498"/>
      <c r="E43" s="1498"/>
      <c r="F43" s="1493"/>
      <c r="G43" s="1493"/>
      <c r="H43" s="1493"/>
      <c r="I43" s="659"/>
    </row>
    <row r="45" spans="1:9" x14ac:dyDescent="0.35">
      <c r="F45" s="682"/>
      <c r="G45" s="637"/>
      <c r="H45" s="682"/>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opLeftCell="A4" workbookViewId="0">
      <selection activeCell="B32" sqref="B32"/>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504" t="s">
        <v>685</v>
      </c>
      <c r="B2" s="1504"/>
      <c r="C2" s="1504"/>
      <c r="D2" s="1504"/>
      <c r="E2" s="1504"/>
      <c r="F2" s="1504"/>
      <c r="G2" s="1504"/>
      <c r="H2" s="1504"/>
    </row>
    <row r="4" spans="1:10" ht="29" customHeight="1" x14ac:dyDescent="0.35">
      <c r="B4" s="1505" t="s">
        <v>686</v>
      </c>
      <c r="C4" s="1506"/>
      <c r="D4" s="1507" t="s">
        <v>707</v>
      </c>
      <c r="E4" s="1508"/>
      <c r="F4" s="1509"/>
      <c r="G4" s="1507" t="s">
        <v>560</v>
      </c>
      <c r="H4" s="1509"/>
    </row>
    <row r="5" spans="1:10" ht="29" x14ac:dyDescent="0.35">
      <c r="A5" s="737" t="s">
        <v>712</v>
      </c>
      <c r="B5" s="1204">
        <v>2025</v>
      </c>
      <c r="C5" s="1199" t="s">
        <v>626</v>
      </c>
      <c r="D5" s="1189" t="s">
        <v>708</v>
      </c>
      <c r="E5" s="1205" t="s">
        <v>709</v>
      </c>
      <c r="F5" s="1206" t="s">
        <v>710</v>
      </c>
      <c r="G5" s="1189" t="s">
        <v>706</v>
      </c>
      <c r="H5" s="1190" t="s">
        <v>594</v>
      </c>
    </row>
    <row r="6" spans="1:10" x14ac:dyDescent="0.35">
      <c r="A6" s="109" t="s">
        <v>593</v>
      </c>
      <c r="B6" s="1191">
        <v>1008</v>
      </c>
      <c r="C6" s="1195"/>
      <c r="D6" s="1200">
        <v>1008</v>
      </c>
      <c r="E6" s="1200"/>
      <c r="F6" s="1196">
        <f>+G6-D6-E6</f>
        <v>0</v>
      </c>
      <c r="G6" s="1191">
        <v>1008</v>
      </c>
      <c r="H6" s="343" t="s">
        <v>595</v>
      </c>
    </row>
    <row r="7" spans="1:10" x14ac:dyDescent="0.35">
      <c r="A7" s="109" t="s">
        <v>596</v>
      </c>
      <c r="B7" s="1191">
        <v>1370</v>
      </c>
      <c r="C7" s="1195"/>
      <c r="D7" s="1200">
        <v>908.79</v>
      </c>
      <c r="E7" s="1201"/>
      <c r="F7" s="1196">
        <f t="shared" ref="F7:F15" si="0">+G7-D7-E7</f>
        <v>439.41000000000008</v>
      </c>
      <c r="G7" s="1191">
        <v>1348.2</v>
      </c>
      <c r="H7" s="343" t="s">
        <v>595</v>
      </c>
    </row>
    <row r="8" spans="1:10" x14ac:dyDescent="0.35">
      <c r="A8" s="109" t="s">
        <v>711</v>
      </c>
      <c r="B8" s="1191">
        <f>75*12</f>
        <v>900</v>
      </c>
      <c r="C8" s="343"/>
      <c r="D8" s="1200"/>
      <c r="E8" s="1207">
        <v>333.78</v>
      </c>
      <c r="F8" s="1196">
        <f t="shared" si="0"/>
        <v>-333.78</v>
      </c>
      <c r="G8" s="123"/>
      <c r="H8" s="343"/>
    </row>
    <row r="9" spans="1:10" x14ac:dyDescent="0.35">
      <c r="A9" s="109" t="s">
        <v>597</v>
      </c>
      <c r="B9" s="1191">
        <v>400</v>
      </c>
      <c r="C9" s="1195"/>
      <c r="D9" s="1200">
        <v>258.75</v>
      </c>
      <c r="E9" s="1200"/>
      <c r="F9" s="1196">
        <f t="shared" si="0"/>
        <v>241.25</v>
      </c>
      <c r="G9" s="1191">
        <v>500</v>
      </c>
      <c r="H9" s="343" t="s">
        <v>595</v>
      </c>
    </row>
    <row r="10" spans="1:10" x14ac:dyDescent="0.35">
      <c r="A10" s="109" t="s">
        <v>598</v>
      </c>
      <c r="B10" s="1191">
        <v>300</v>
      </c>
      <c r="C10" s="1195"/>
      <c r="D10" s="1200"/>
      <c r="E10" s="1200"/>
      <c r="F10" s="1196">
        <f t="shared" si="0"/>
        <v>300</v>
      </c>
      <c r="G10" s="1191">
        <v>300</v>
      </c>
      <c r="H10" s="343" t="s">
        <v>595</v>
      </c>
    </row>
    <row r="11" spans="1:10" x14ac:dyDescent="0.35">
      <c r="A11" s="109" t="s">
        <v>636</v>
      </c>
      <c r="B11" s="1191">
        <v>1900</v>
      </c>
      <c r="C11" s="1195"/>
      <c r="D11" s="1200">
        <v>1256.94</v>
      </c>
      <c r="E11" s="1201"/>
      <c r="F11" s="1196">
        <f t="shared" si="0"/>
        <v>663.06</v>
      </c>
      <c r="G11" s="1191">
        <v>1920</v>
      </c>
      <c r="H11" s="343" t="s">
        <v>225</v>
      </c>
    </row>
    <row r="12" spans="1:10" x14ac:dyDescent="0.35">
      <c r="A12" s="109" t="s">
        <v>599</v>
      </c>
      <c r="B12" s="1191">
        <v>1500</v>
      </c>
      <c r="C12" s="1195"/>
      <c r="D12" s="1200">
        <v>988.42</v>
      </c>
      <c r="E12" s="1201"/>
      <c r="F12" s="1196">
        <f t="shared" si="0"/>
        <v>434.78000000000009</v>
      </c>
      <c r="G12" s="1191">
        <v>1423.2</v>
      </c>
      <c r="H12" s="343" t="s">
        <v>225</v>
      </c>
    </row>
    <row r="13" spans="1:10" ht="44" customHeight="1" x14ac:dyDescent="0.35">
      <c r="A13" s="109" t="s">
        <v>603</v>
      </c>
      <c r="B13" s="1191">
        <v>0</v>
      </c>
      <c r="C13" s="1218" t="s">
        <v>724</v>
      </c>
      <c r="D13" s="1200">
        <v>0</v>
      </c>
      <c r="E13" s="1200"/>
      <c r="F13" s="1196">
        <f t="shared" si="0"/>
        <v>2000</v>
      </c>
      <c r="G13" s="1191">
        <v>2000</v>
      </c>
      <c r="H13" s="1192" t="s">
        <v>604</v>
      </c>
    </row>
    <row r="14" spans="1:10" x14ac:dyDescent="0.35">
      <c r="A14" s="109" t="s">
        <v>605</v>
      </c>
      <c r="B14" s="1191">
        <v>500</v>
      </c>
      <c r="C14" s="1195"/>
      <c r="D14" s="1200">
        <f>29.99+75</f>
        <v>104.99</v>
      </c>
      <c r="E14" s="1200"/>
      <c r="F14" s="1196">
        <f t="shared" si="0"/>
        <v>595.61</v>
      </c>
      <c r="G14" s="1191">
        <v>700.6</v>
      </c>
      <c r="H14" s="343"/>
    </row>
    <row r="15" spans="1:10" x14ac:dyDescent="0.35">
      <c r="A15" s="109" t="s">
        <v>600</v>
      </c>
      <c r="B15" s="1191">
        <v>250</v>
      </c>
      <c r="C15" s="1195"/>
      <c r="D15" s="1200">
        <v>134.32</v>
      </c>
      <c r="E15" s="1201"/>
      <c r="F15" s="1196">
        <f t="shared" si="0"/>
        <v>165.68</v>
      </c>
      <c r="G15" s="1191">
        <v>300</v>
      </c>
      <c r="H15" s="343" t="s">
        <v>595</v>
      </c>
      <c r="J15" s="1017"/>
    </row>
    <row r="16" spans="1:10" x14ac:dyDescent="0.35">
      <c r="A16" s="866" t="s">
        <v>601</v>
      </c>
      <c r="B16" s="1208">
        <f>SUM(B6:B15)</f>
        <v>8128</v>
      </c>
      <c r="C16" s="1209"/>
      <c r="D16" s="1210">
        <f>SUM(D6:D15)</f>
        <v>4660.2099999999991</v>
      </c>
      <c r="E16" s="1210">
        <f t="shared" ref="E16:F16" si="1">SUM(E6:E15)</f>
        <v>333.78</v>
      </c>
      <c r="F16" s="1210">
        <f t="shared" si="1"/>
        <v>4506.01</v>
      </c>
      <c r="G16" s="1208">
        <f>SUM(G6:G15)</f>
        <v>9500</v>
      </c>
      <c r="H16" s="1211"/>
    </row>
    <row r="17" spans="1:8" x14ac:dyDescent="0.35">
      <c r="B17" s="123"/>
      <c r="C17" s="343"/>
      <c r="D17" s="257"/>
      <c r="E17" s="257"/>
      <c r="F17" s="343"/>
      <c r="G17" s="123"/>
      <c r="H17" s="343"/>
    </row>
    <row r="18" spans="1:8" x14ac:dyDescent="0.35">
      <c r="A18" s="109" t="s">
        <v>606</v>
      </c>
      <c r="B18" s="1194"/>
      <c r="C18" s="1198"/>
      <c r="D18" s="1203"/>
      <c r="E18" s="1203"/>
      <c r="F18" s="1198"/>
      <c r="G18" s="1194">
        <f>+G6+G7+G9+G10+G15</f>
        <v>3456.2</v>
      </c>
      <c r="H18" s="343"/>
    </row>
    <row r="19" spans="1:8" x14ac:dyDescent="0.35">
      <c r="A19" s="109" t="s">
        <v>607</v>
      </c>
      <c r="B19" s="1194"/>
      <c r="C19" s="1198"/>
      <c r="D19" s="1203"/>
      <c r="E19" s="1203"/>
      <c r="F19" s="1198"/>
      <c r="G19" s="1194">
        <f>+G11+G12</f>
        <v>3343.2</v>
      </c>
      <c r="H19" s="343"/>
    </row>
    <row r="20" spans="1:8" x14ac:dyDescent="0.35">
      <c r="A20" s="736" t="s">
        <v>608</v>
      </c>
      <c r="B20" s="1193"/>
      <c r="C20" s="1197"/>
      <c r="D20" s="1202"/>
      <c r="E20" s="1202"/>
      <c r="F20" s="1197"/>
      <c r="G20" s="1193">
        <f>+G16-G18-G19</f>
        <v>2700.6000000000004</v>
      </c>
      <c r="H20" s="343"/>
    </row>
    <row r="21" spans="1:8" ht="5" customHeight="1" x14ac:dyDescent="0.35">
      <c r="B21" s="1194"/>
      <c r="C21" s="1198"/>
      <c r="D21" s="1203"/>
      <c r="E21" s="1203"/>
      <c r="F21" s="1198"/>
      <c r="G21" s="1194"/>
      <c r="H21" s="343"/>
    </row>
    <row r="22" spans="1:8" ht="7.5" customHeight="1" x14ac:dyDescent="0.35">
      <c r="B22" s="123"/>
      <c r="C22" s="343"/>
      <c r="D22" s="257"/>
      <c r="E22" s="257"/>
      <c r="F22" s="343"/>
      <c r="G22" s="123"/>
      <c r="H22" s="343"/>
    </row>
    <row r="23" spans="1:8" ht="18.5" x14ac:dyDescent="0.35">
      <c r="A23" s="737" t="s">
        <v>602</v>
      </c>
      <c r="B23" s="123"/>
      <c r="C23" s="343"/>
      <c r="D23" s="257"/>
      <c r="E23" s="257"/>
      <c r="F23" s="343"/>
      <c r="G23" s="123"/>
      <c r="H23" s="343"/>
    </row>
    <row r="24" spans="1:8" ht="29" x14ac:dyDescent="0.35">
      <c r="A24" s="109" t="s">
        <v>609</v>
      </c>
      <c r="B24" s="1191"/>
      <c r="C24" s="1195"/>
      <c r="D24" s="1200"/>
      <c r="E24" s="1200"/>
      <c r="F24" s="1196">
        <f t="shared" ref="F24:F29" si="2">+G24-D24-E24</f>
        <v>2000</v>
      </c>
      <c r="G24" s="1191">
        <v>2000</v>
      </c>
      <c r="H24" s="1192" t="s">
        <v>714</v>
      </c>
    </row>
    <row r="25" spans="1:8" x14ac:dyDescent="0.35">
      <c r="A25" s="109" t="s">
        <v>610</v>
      </c>
      <c r="B25" s="1191"/>
      <c r="C25" s="1195"/>
      <c r="D25" s="1200"/>
      <c r="E25" s="1200"/>
      <c r="F25" s="1196">
        <f t="shared" si="2"/>
        <v>500</v>
      </c>
      <c r="G25" s="1191">
        <v>500</v>
      </c>
      <c r="H25" s="343"/>
    </row>
    <row r="26" spans="1:8" ht="87" x14ac:dyDescent="0.35">
      <c r="A26" s="109" t="s">
        <v>611</v>
      </c>
      <c r="B26" s="1191"/>
      <c r="C26" s="1195"/>
      <c r="D26" s="1200"/>
      <c r="E26" s="1200"/>
      <c r="F26" s="1196">
        <f t="shared" si="2"/>
        <v>1000</v>
      </c>
      <c r="G26" s="1191">
        <v>1000</v>
      </c>
      <c r="H26" s="1192" t="s">
        <v>637</v>
      </c>
    </row>
    <row r="27" spans="1:8" x14ac:dyDescent="0.35">
      <c r="A27" s="109" t="s">
        <v>612</v>
      </c>
      <c r="B27" s="1191"/>
      <c r="C27" s="1195"/>
      <c r="D27" s="1200">
        <v>3517.14</v>
      </c>
      <c r="E27" s="1200"/>
      <c r="F27" s="1196">
        <f t="shared" si="2"/>
        <v>1482.8600000000001</v>
      </c>
      <c r="G27" s="1191">
        <v>5000</v>
      </c>
      <c r="H27" s="343"/>
    </row>
    <row r="28" spans="1:8" ht="29" x14ac:dyDescent="0.35">
      <c r="A28" s="109" t="s">
        <v>614</v>
      </c>
      <c r="B28" s="1191"/>
      <c r="C28" s="1195"/>
      <c r="D28" s="1200"/>
      <c r="E28" s="1200"/>
      <c r="F28" s="1196">
        <f t="shared" si="2"/>
        <v>2500</v>
      </c>
      <c r="G28" s="1191">
        <v>2500</v>
      </c>
      <c r="H28" s="1192" t="s">
        <v>638</v>
      </c>
    </row>
    <row r="29" spans="1:8" ht="29" x14ac:dyDescent="0.35">
      <c r="A29" s="109" t="s">
        <v>613</v>
      </c>
      <c r="B29" s="1191"/>
      <c r="C29" s="1195"/>
      <c r="D29" s="1200"/>
      <c r="E29" s="1200"/>
      <c r="F29" s="1196">
        <f t="shared" si="2"/>
        <v>250</v>
      </c>
      <c r="G29" s="1191">
        <v>250</v>
      </c>
      <c r="H29" s="1192" t="s">
        <v>639</v>
      </c>
    </row>
    <row r="30" spans="1:8" x14ac:dyDescent="0.35">
      <c r="A30" s="866" t="s">
        <v>713</v>
      </c>
      <c r="B30" s="1212"/>
      <c r="C30" s="1213"/>
      <c r="D30" s="1214">
        <f t="shared" ref="D30:F30" si="3">SUM(D24:D29)</f>
        <v>3517.14</v>
      </c>
      <c r="E30" s="1214">
        <f t="shared" si="3"/>
        <v>0</v>
      </c>
      <c r="F30" s="1213">
        <f t="shared" si="3"/>
        <v>7732.8600000000006</v>
      </c>
      <c r="G30" s="1212">
        <f>SUM(G24:G29)</f>
        <v>11250</v>
      </c>
      <c r="H30" s="1215"/>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showGridLines="0" workbookViewId="0">
      <selection activeCell="I1" sqref="I1"/>
    </sheetView>
  </sheetViews>
  <sheetFormatPr defaultRowHeight="14.5" outlineLevelCol="1" x14ac:dyDescent="0.35"/>
  <cols>
    <col min="1" max="1" width="39.1796875" style="109" customWidth="1"/>
    <col min="2" max="2" width="10.90625" style="109" hidden="1" customWidth="1" outlineLevel="1"/>
    <col min="3" max="3" width="20.08984375" style="109" hidden="1" customWidth="1" outlineLevel="1"/>
    <col min="4" max="5" width="10.90625" style="109" hidden="1" customWidth="1" outlineLevel="1"/>
    <col min="6" max="6" width="10.90625" style="109" customWidth="1" collapsed="1"/>
    <col min="7" max="7" width="10.90625" style="109" customWidth="1"/>
    <col min="8" max="8" width="21" style="109" customWidth="1"/>
    <col min="9" max="10" width="8.7265625" style="109"/>
    <col min="11" max="11" width="20.7265625" style="109" customWidth="1"/>
    <col min="12" max="16384" width="8.7265625" style="109"/>
  </cols>
  <sheetData>
    <row r="1" spans="1:11" ht="5" customHeight="1" x14ac:dyDescent="0.35"/>
    <row r="2" spans="1:11" ht="23.5" x14ac:dyDescent="0.35">
      <c r="A2" s="1504" t="s">
        <v>871</v>
      </c>
      <c r="B2" s="1504"/>
      <c r="C2" s="1504"/>
      <c r="D2" s="1504"/>
      <c r="E2" s="1504"/>
      <c r="F2" s="1504"/>
      <c r="G2" s="1504"/>
      <c r="H2" s="1504"/>
      <c r="I2" s="1504"/>
      <c r="J2" s="1504"/>
      <c r="K2" s="1504"/>
    </row>
    <row r="4" spans="1:11" ht="29" x14ac:dyDescent="0.35">
      <c r="A4" s="737" t="s">
        <v>712</v>
      </c>
      <c r="B4" s="1189" t="s">
        <v>706</v>
      </c>
      <c r="C4" s="1252" t="s">
        <v>594</v>
      </c>
      <c r="D4" s="122"/>
      <c r="E4" s="1261"/>
      <c r="F4" s="1189" t="s">
        <v>686</v>
      </c>
      <c r="G4" s="1252" t="s">
        <v>594</v>
      </c>
      <c r="H4" s="1206"/>
      <c r="I4" s="1189" t="s">
        <v>827</v>
      </c>
      <c r="J4" s="1252" t="s">
        <v>594</v>
      </c>
      <c r="K4" s="1206"/>
    </row>
    <row r="5" spans="1:11" x14ac:dyDescent="0.35">
      <c r="A5" s="109" t="s">
        <v>593</v>
      </c>
      <c r="B5" s="1248">
        <v>1008</v>
      </c>
      <c r="C5" s="1512" t="s">
        <v>595</v>
      </c>
      <c r="D5" s="1512"/>
      <c r="E5" s="343"/>
      <c r="F5" s="1248">
        <v>1100</v>
      </c>
      <c r="G5" s="257"/>
      <c r="H5" s="1196"/>
      <c r="I5" s="1248">
        <v>0</v>
      </c>
      <c r="J5" s="257"/>
      <c r="K5" s="1196"/>
    </row>
    <row r="6" spans="1:11" x14ac:dyDescent="0.35">
      <c r="A6" s="109" t="s">
        <v>596</v>
      </c>
      <c r="B6" s="1248">
        <v>1348</v>
      </c>
      <c r="C6" s="1512" t="s">
        <v>595</v>
      </c>
      <c r="D6" s="1512"/>
      <c r="E6" s="343"/>
      <c r="F6" s="1248">
        <v>1380</v>
      </c>
      <c r="G6" s="257"/>
      <c r="H6" s="1196"/>
      <c r="I6" s="1248">
        <v>0</v>
      </c>
      <c r="J6" s="257"/>
      <c r="K6" s="1196"/>
    </row>
    <row r="7" spans="1:11" x14ac:dyDescent="0.35">
      <c r="A7" s="109" t="s">
        <v>597</v>
      </c>
      <c r="B7" s="1248">
        <v>500</v>
      </c>
      <c r="C7" s="1512" t="s">
        <v>595</v>
      </c>
      <c r="D7" s="1512"/>
      <c r="E7" s="343"/>
      <c r="F7" s="1248">
        <v>500</v>
      </c>
      <c r="G7" s="257"/>
      <c r="H7" s="1196"/>
      <c r="I7" s="1248">
        <v>0</v>
      </c>
      <c r="J7" s="257"/>
      <c r="K7" s="1196"/>
    </row>
    <row r="8" spans="1:11" x14ac:dyDescent="0.35">
      <c r="A8" s="109" t="s">
        <v>761</v>
      </c>
      <c r="B8" s="1248">
        <v>300</v>
      </c>
      <c r="C8" s="1512" t="s">
        <v>595</v>
      </c>
      <c r="D8" s="1512"/>
      <c r="E8" s="343"/>
      <c r="F8" s="1248">
        <v>0</v>
      </c>
      <c r="G8" s="257" t="s">
        <v>792</v>
      </c>
      <c r="H8" s="1196"/>
      <c r="I8" s="1248">
        <v>0</v>
      </c>
      <c r="J8" s="257"/>
      <c r="K8" s="1196"/>
    </row>
    <row r="9" spans="1:11" x14ac:dyDescent="0.35">
      <c r="A9" s="109" t="s">
        <v>636</v>
      </c>
      <c r="B9" s="1248">
        <v>1920</v>
      </c>
      <c r="C9" s="1512" t="s">
        <v>225</v>
      </c>
      <c r="D9" s="1512"/>
      <c r="E9" s="343"/>
      <c r="F9" s="1248">
        <v>1920</v>
      </c>
      <c r="G9" s="257"/>
      <c r="H9" s="1196"/>
      <c r="I9" s="1248">
        <v>0</v>
      </c>
      <c r="J9" s="257"/>
      <c r="K9" s="1196"/>
    </row>
    <row r="10" spans="1:11" x14ac:dyDescent="0.35">
      <c r="A10" s="109" t="s">
        <v>599</v>
      </c>
      <c r="B10" s="1248">
        <v>1424</v>
      </c>
      <c r="C10" s="1512" t="s">
        <v>225</v>
      </c>
      <c r="D10" s="1512"/>
      <c r="E10" s="343"/>
      <c r="F10" s="1248">
        <v>1800</v>
      </c>
      <c r="G10" s="1512" t="s">
        <v>762</v>
      </c>
      <c r="H10" s="1513"/>
      <c r="I10" s="1248">
        <v>0</v>
      </c>
      <c r="J10" s="1512"/>
      <c r="K10" s="1513"/>
    </row>
    <row r="11" spans="1:11" ht="29" customHeight="1" x14ac:dyDescent="0.35">
      <c r="A11" s="109" t="s">
        <v>603</v>
      </c>
      <c r="B11" s="1248">
        <v>2000</v>
      </c>
      <c r="C11" s="1514" t="s">
        <v>781</v>
      </c>
      <c r="D11" s="1514"/>
      <c r="E11" s="343"/>
      <c r="F11" s="1248">
        <v>0</v>
      </c>
      <c r="G11" s="1514" t="s">
        <v>774</v>
      </c>
      <c r="H11" s="1515"/>
      <c r="I11" s="1248">
        <v>0</v>
      </c>
      <c r="J11" s="1514"/>
      <c r="K11" s="1515"/>
    </row>
    <row r="12" spans="1:11" x14ac:dyDescent="0.35">
      <c r="A12" s="109" t="s">
        <v>605</v>
      </c>
      <c r="B12" s="1248">
        <v>700</v>
      </c>
      <c r="C12" s="257"/>
      <c r="D12" s="257"/>
      <c r="E12" s="343"/>
      <c r="F12" s="1248">
        <v>0</v>
      </c>
      <c r="G12" s="257" t="s">
        <v>775</v>
      </c>
      <c r="H12" s="1196"/>
      <c r="I12" s="1248">
        <v>0</v>
      </c>
      <c r="J12" s="257"/>
      <c r="K12" s="1196"/>
    </row>
    <row r="13" spans="1:11" x14ac:dyDescent="0.35">
      <c r="A13" s="109" t="s">
        <v>600</v>
      </c>
      <c r="B13" s="1248">
        <v>300</v>
      </c>
      <c r="C13" s="1512" t="s">
        <v>595</v>
      </c>
      <c r="D13" s="1512"/>
      <c r="E13" s="343"/>
      <c r="F13" s="1248">
        <v>204</v>
      </c>
      <c r="G13" s="257"/>
      <c r="H13" s="1196"/>
      <c r="I13" s="1248">
        <v>0</v>
      </c>
      <c r="J13" s="257"/>
      <c r="K13" s="1196"/>
    </row>
    <row r="14" spans="1:11" x14ac:dyDescent="0.35">
      <c r="A14" s="109" t="s">
        <v>764</v>
      </c>
      <c r="B14" s="1248"/>
      <c r="C14" s="257"/>
      <c r="D14" s="257"/>
      <c r="E14" s="343"/>
      <c r="F14" s="1248">
        <v>289</v>
      </c>
      <c r="G14" s="257" t="s">
        <v>771</v>
      </c>
      <c r="H14" s="1196"/>
      <c r="I14" s="1248">
        <v>0</v>
      </c>
      <c r="J14" s="257"/>
      <c r="K14" s="1196"/>
    </row>
    <row r="15" spans="1:11" x14ac:dyDescent="0.35">
      <c r="A15" s="109" t="s">
        <v>763</v>
      </c>
      <c r="B15" s="1248"/>
      <c r="C15" s="257"/>
      <c r="D15" s="257"/>
      <c r="E15" s="343"/>
      <c r="F15" s="1248">
        <v>720</v>
      </c>
      <c r="G15" s="257" t="s">
        <v>770</v>
      </c>
      <c r="H15" s="1196"/>
      <c r="I15" s="1248">
        <v>0</v>
      </c>
      <c r="J15" s="257"/>
      <c r="K15" s="1196"/>
    </row>
    <row r="16" spans="1:11" x14ac:dyDescent="0.35">
      <c r="A16" s="109" t="s">
        <v>766</v>
      </c>
      <c r="B16" s="1248"/>
      <c r="C16" s="257"/>
      <c r="D16" s="257"/>
      <c r="E16" s="343"/>
      <c r="F16" s="1248">
        <v>100</v>
      </c>
      <c r="G16" s="257" t="s">
        <v>771</v>
      </c>
      <c r="H16" s="1196"/>
      <c r="I16" s="1248">
        <v>0</v>
      </c>
      <c r="J16" s="257"/>
      <c r="K16" s="1196"/>
    </row>
    <row r="17" spans="1:11" x14ac:dyDescent="0.35">
      <c r="A17" s="109" t="s">
        <v>765</v>
      </c>
      <c r="B17" s="1248"/>
      <c r="C17" s="257"/>
      <c r="D17" s="257"/>
      <c r="E17" s="343"/>
      <c r="F17" s="1248">
        <v>340</v>
      </c>
      <c r="G17" s="257" t="s">
        <v>26</v>
      </c>
      <c r="H17" s="1196"/>
      <c r="I17" s="1248">
        <v>0</v>
      </c>
      <c r="J17" s="257"/>
      <c r="K17" s="1196"/>
    </row>
    <row r="18" spans="1:11" x14ac:dyDescent="0.35">
      <c r="A18" s="109" t="s">
        <v>767</v>
      </c>
      <c r="B18" s="1248"/>
      <c r="C18" s="257"/>
      <c r="D18" s="257"/>
      <c r="E18" s="343"/>
      <c r="F18" s="1248">
        <v>575</v>
      </c>
      <c r="G18" s="257" t="s">
        <v>26</v>
      </c>
      <c r="H18" s="1196"/>
      <c r="I18" s="1248">
        <v>0</v>
      </c>
      <c r="J18" s="257"/>
      <c r="K18" s="1196"/>
    </row>
    <row r="19" spans="1:11" x14ac:dyDescent="0.35">
      <c r="A19" s="109" t="s">
        <v>768</v>
      </c>
      <c r="B19" s="1248"/>
      <c r="C19" s="257"/>
      <c r="D19" s="257"/>
      <c r="E19" s="343"/>
      <c r="F19" s="1248">
        <v>516</v>
      </c>
      <c r="G19" s="257" t="s">
        <v>26</v>
      </c>
      <c r="H19" s="1196"/>
      <c r="I19" s="1248">
        <v>0</v>
      </c>
      <c r="J19" s="257"/>
      <c r="K19" s="1196"/>
    </row>
    <row r="20" spans="1:11" x14ac:dyDescent="0.35">
      <c r="A20" s="109" t="s">
        <v>769</v>
      </c>
      <c r="B20" s="1248"/>
      <c r="C20" s="257"/>
      <c r="D20" s="257"/>
      <c r="E20" s="343"/>
      <c r="F20" s="1248">
        <v>1200</v>
      </c>
      <c r="G20" s="257" t="s">
        <v>26</v>
      </c>
      <c r="H20" s="1196"/>
      <c r="I20" s="1248">
        <v>0</v>
      </c>
      <c r="J20" s="257"/>
      <c r="K20" s="1196"/>
    </row>
    <row r="21" spans="1:11" x14ac:dyDescent="0.35">
      <c r="A21" s="109" t="s">
        <v>772</v>
      </c>
      <c r="B21" s="1248"/>
      <c r="C21" s="257"/>
      <c r="D21" s="257"/>
      <c r="E21" s="343"/>
      <c r="F21" s="1248">
        <v>50</v>
      </c>
      <c r="G21" s="257" t="s">
        <v>26</v>
      </c>
      <c r="H21" s="1196"/>
      <c r="I21" s="1248">
        <v>0</v>
      </c>
      <c r="J21" s="257"/>
      <c r="K21" s="1196"/>
    </row>
    <row r="22" spans="1:11" x14ac:dyDescent="0.35">
      <c r="A22" s="109" t="s">
        <v>773</v>
      </c>
      <c r="B22" s="1248"/>
      <c r="C22" s="257"/>
      <c r="D22" s="257"/>
      <c r="E22" s="343"/>
      <c r="F22" s="1248">
        <v>25</v>
      </c>
      <c r="G22" s="257" t="s">
        <v>26</v>
      </c>
      <c r="H22" s="1196"/>
      <c r="I22" s="1248">
        <v>10719</v>
      </c>
      <c r="J22" s="257"/>
      <c r="K22" s="1196"/>
    </row>
    <row r="23" spans="1:11" x14ac:dyDescent="0.35">
      <c r="B23" s="1248"/>
      <c r="C23" s="257"/>
      <c r="D23" s="257"/>
      <c r="E23" s="343"/>
      <c r="F23" s="1248"/>
      <c r="G23" s="257"/>
      <c r="H23" s="1196"/>
      <c r="I23" s="1248"/>
      <c r="J23" s="257"/>
      <c r="K23" s="1196"/>
    </row>
    <row r="24" spans="1:11" x14ac:dyDescent="0.35">
      <c r="A24" s="866" t="s">
        <v>601</v>
      </c>
      <c r="B24" s="1249">
        <f>SUM(B5:B23)</f>
        <v>9500</v>
      </c>
      <c r="C24" s="753"/>
      <c r="D24" s="753"/>
      <c r="E24" s="1211"/>
      <c r="F24" s="1249">
        <f>SUM(F5:F23)</f>
        <v>10719</v>
      </c>
      <c r="G24" s="1210"/>
      <c r="H24" s="1209"/>
      <c r="I24" s="1249">
        <f>SUM(I5:I23)</f>
        <v>10719</v>
      </c>
      <c r="J24" s="1210"/>
      <c r="K24" s="1209"/>
    </row>
    <row r="25" spans="1:11" x14ac:dyDescent="0.35">
      <c r="B25" s="1250"/>
      <c r="C25" s="257"/>
      <c r="D25" s="257"/>
      <c r="E25" s="343"/>
      <c r="F25" s="1250"/>
      <c r="G25" s="257"/>
      <c r="H25" s="343"/>
      <c r="I25" s="1250"/>
      <c r="J25" s="257"/>
      <c r="K25" s="343"/>
    </row>
    <row r="26" spans="1:11" x14ac:dyDescent="0.35">
      <c r="A26" s="109" t="s">
        <v>606</v>
      </c>
      <c r="B26" s="1250">
        <f>+B5+B6+B7+B8+B13</f>
        <v>3456</v>
      </c>
      <c r="C26" s="257"/>
      <c r="D26" s="257"/>
      <c r="E26" s="343"/>
      <c r="F26" s="1250">
        <f>+SUM(F17:F22)</f>
        <v>2706</v>
      </c>
      <c r="G26" s="1203"/>
      <c r="H26" s="1198"/>
      <c r="I26" s="1250"/>
      <c r="J26" s="1203"/>
      <c r="K26" s="1198"/>
    </row>
    <row r="27" spans="1:11" x14ac:dyDescent="0.35">
      <c r="A27" s="109" t="s">
        <v>607</v>
      </c>
      <c r="B27" s="1250">
        <f>+B9+B10</f>
        <v>3344</v>
      </c>
      <c r="C27" s="257"/>
      <c r="D27" s="257"/>
      <c r="E27" s="343"/>
      <c r="F27" s="1250">
        <v>0</v>
      </c>
      <c r="G27" s="1203"/>
      <c r="H27" s="1198"/>
      <c r="I27" s="1250"/>
      <c r="J27" s="1203"/>
      <c r="K27" s="1198"/>
    </row>
    <row r="28" spans="1:11" x14ac:dyDescent="0.35">
      <c r="A28" s="736" t="s">
        <v>608</v>
      </c>
      <c r="B28" s="1271">
        <f>+B24-B26-B27</f>
        <v>2700</v>
      </c>
      <c r="C28" s="263"/>
      <c r="D28" s="263"/>
      <c r="E28" s="1262"/>
      <c r="F28" s="1271">
        <f>+F26+F27</f>
        <v>2706</v>
      </c>
      <c r="G28" s="1272"/>
      <c r="H28" s="1273"/>
      <c r="I28" s="1271">
        <f>+I26+I27</f>
        <v>0</v>
      </c>
      <c r="J28" s="1272"/>
      <c r="K28" s="1273"/>
    </row>
    <row r="29" spans="1:11" ht="5" customHeight="1" x14ac:dyDescent="0.35">
      <c r="A29" s="257"/>
      <c r="B29" s="1251"/>
      <c r="C29" s="1203"/>
      <c r="D29" s="1251"/>
      <c r="E29" s="1203"/>
      <c r="F29" s="1203"/>
      <c r="G29" s="1203"/>
      <c r="H29" s="257"/>
      <c r="I29" s="257"/>
      <c r="J29" s="1203"/>
      <c r="K29" s="257"/>
    </row>
    <row r="30" spans="1:11" ht="7.5" customHeight="1" x14ac:dyDescent="0.35">
      <c r="A30" s="257"/>
      <c r="B30" s="1251"/>
      <c r="C30" s="257"/>
      <c r="D30" s="1251"/>
      <c r="E30" s="257"/>
      <c r="F30" s="257"/>
      <c r="G30" s="257"/>
      <c r="H30" s="257"/>
      <c r="I30" s="257"/>
      <c r="J30" s="257"/>
      <c r="K30" s="257"/>
    </row>
    <row r="31" spans="1:11" ht="29" x14ac:dyDescent="0.35">
      <c r="A31" s="737" t="s">
        <v>602</v>
      </c>
      <c r="B31" s="1263" t="str">
        <f>+B4</f>
        <v>2024
Budget</v>
      </c>
      <c r="C31" s="1268" t="s">
        <v>758</v>
      </c>
      <c r="D31" s="1264" t="s">
        <v>759</v>
      </c>
      <c r="E31" s="1265" t="s">
        <v>760</v>
      </c>
      <c r="F31" s="1236" t="str">
        <f>+F4</f>
        <v>2025 Budget</v>
      </c>
      <c r="G31" s="122"/>
      <c r="H31" s="1261"/>
      <c r="I31" s="1362" t="str">
        <f>+I4</f>
        <v>2026 Budget</v>
      </c>
      <c r="J31" s="122"/>
      <c r="K31" s="1261"/>
    </row>
    <row r="32" spans="1:11" x14ac:dyDescent="0.35">
      <c r="A32" s="1253" t="s">
        <v>609</v>
      </c>
      <c r="B32" s="1254">
        <v>2000</v>
      </c>
      <c r="C32" s="1255">
        <v>2000</v>
      </c>
      <c r="D32" s="1255"/>
      <c r="E32" s="1269">
        <f>+B32+C32-D32</f>
        <v>4000</v>
      </c>
      <c r="F32" s="1266">
        <f t="shared" ref="F32:F37" si="0">+E32</f>
        <v>4000</v>
      </c>
      <c r="G32" s="1510" t="s">
        <v>714</v>
      </c>
      <c r="H32" s="1511"/>
      <c r="I32" s="1266">
        <f t="shared" ref="I32:I37" si="1">+H32</f>
        <v>0</v>
      </c>
      <c r="J32" s="1510" t="s">
        <v>714</v>
      </c>
      <c r="K32" s="1511"/>
    </row>
    <row r="33" spans="1:11" x14ac:dyDescent="0.35">
      <c r="A33" s="1253" t="s">
        <v>776</v>
      </c>
      <c r="B33" s="1254">
        <v>500</v>
      </c>
      <c r="C33" s="1255"/>
      <c r="D33" s="1255"/>
      <c r="E33" s="1269">
        <f t="shared" ref="E33:E37" si="2">+B33+C33-D33</f>
        <v>500</v>
      </c>
      <c r="F33" s="1266">
        <f t="shared" si="0"/>
        <v>500</v>
      </c>
      <c r="G33" s="1259"/>
      <c r="H33" s="343"/>
      <c r="I33" s="1266">
        <f t="shared" si="1"/>
        <v>0</v>
      </c>
      <c r="J33" s="1259"/>
      <c r="K33" s="343"/>
    </row>
    <row r="34" spans="1:11" ht="33" customHeight="1" x14ac:dyDescent="0.35">
      <c r="A34" s="1253" t="s">
        <v>611</v>
      </c>
      <c r="B34" s="1254">
        <v>1000</v>
      </c>
      <c r="C34" s="1255">
        <v>3000</v>
      </c>
      <c r="D34" s="1255">
        <f>ROUND(1495.95+369,0)</f>
        <v>1865</v>
      </c>
      <c r="E34" s="1269">
        <f t="shared" si="2"/>
        <v>2135</v>
      </c>
      <c r="F34" s="1266">
        <f t="shared" si="0"/>
        <v>2135</v>
      </c>
      <c r="G34" s="1510" t="s">
        <v>637</v>
      </c>
      <c r="H34" s="1511"/>
      <c r="I34" s="1266">
        <f t="shared" si="1"/>
        <v>0</v>
      </c>
      <c r="J34" s="1510" t="s">
        <v>637</v>
      </c>
      <c r="K34" s="1511"/>
    </row>
    <row r="35" spans="1:11" x14ac:dyDescent="0.35">
      <c r="A35" s="1253" t="s">
        <v>612</v>
      </c>
      <c r="B35" s="1254">
        <v>5000</v>
      </c>
      <c r="C35" s="1255"/>
      <c r="D35" s="1255">
        <f>ROUND(3517.14,0)</f>
        <v>3517</v>
      </c>
      <c r="E35" s="1269">
        <f t="shared" si="2"/>
        <v>1483</v>
      </c>
      <c r="F35" s="1266">
        <f t="shared" si="0"/>
        <v>1483</v>
      </c>
      <c r="G35" s="1259"/>
      <c r="H35" s="343"/>
      <c r="I35" s="1266">
        <f t="shared" si="1"/>
        <v>0</v>
      </c>
      <c r="J35" s="1259"/>
      <c r="K35" s="343"/>
    </row>
    <row r="36" spans="1:11" ht="30" customHeight="1" x14ac:dyDescent="0.35">
      <c r="A36" s="1253" t="s">
        <v>614</v>
      </c>
      <c r="B36" s="1254">
        <v>2500</v>
      </c>
      <c r="C36" s="1255"/>
      <c r="D36" s="1255"/>
      <c r="E36" s="1269">
        <f t="shared" si="2"/>
        <v>2500</v>
      </c>
      <c r="F36" s="1266">
        <f t="shared" si="0"/>
        <v>2500</v>
      </c>
      <c r="G36" s="1510" t="s">
        <v>638</v>
      </c>
      <c r="H36" s="1511"/>
      <c r="I36" s="1266">
        <f t="shared" si="1"/>
        <v>0</v>
      </c>
      <c r="J36" s="1510" t="s">
        <v>638</v>
      </c>
      <c r="K36" s="1511"/>
    </row>
    <row r="37" spans="1:11" x14ac:dyDescent="0.35">
      <c r="A37" s="1253" t="s">
        <v>613</v>
      </c>
      <c r="B37" s="1254">
        <v>250</v>
      </c>
      <c r="C37" s="1255"/>
      <c r="D37" s="1255"/>
      <c r="E37" s="1269">
        <f t="shared" si="2"/>
        <v>250</v>
      </c>
      <c r="F37" s="1266">
        <f t="shared" si="0"/>
        <v>250</v>
      </c>
      <c r="G37" s="1510" t="s">
        <v>639</v>
      </c>
      <c r="H37" s="1511"/>
      <c r="I37" s="1266">
        <f t="shared" si="1"/>
        <v>0</v>
      </c>
      <c r="J37" s="1510" t="s">
        <v>639</v>
      </c>
      <c r="K37" s="1511"/>
    </row>
    <row r="38" spans="1:11" x14ac:dyDescent="0.35">
      <c r="A38" s="1256" t="s">
        <v>713</v>
      </c>
      <c r="B38" s="1257">
        <f>SUM(B32:B37)</f>
        <v>11250</v>
      </c>
      <c r="C38" s="1258">
        <f>SUM(C32:C37)</f>
        <v>5000</v>
      </c>
      <c r="D38" s="1258">
        <f t="shared" ref="D38:E38" si="3">SUM(D32:D37)</f>
        <v>5382</v>
      </c>
      <c r="E38" s="1270">
        <f t="shared" si="3"/>
        <v>10868</v>
      </c>
      <c r="F38" s="1267">
        <f>SUM(F32:F37)</f>
        <v>10868</v>
      </c>
      <c r="G38" s="1260"/>
      <c r="H38" s="1215"/>
      <c r="I38" s="1267">
        <f>SUM(I32:I37)</f>
        <v>0</v>
      </c>
      <c r="J38" s="1260"/>
      <c r="K38" s="1215"/>
    </row>
    <row r="40" spans="1:11" x14ac:dyDescent="0.35">
      <c r="A40" s="120" t="s">
        <v>777</v>
      </c>
      <c r="B40" s="122"/>
      <c r="C40" s="122"/>
      <c r="D40" s="122"/>
      <c r="E40" s="122"/>
      <c r="F40" s="122"/>
      <c r="G40" s="122"/>
      <c r="H40" s="1261"/>
      <c r="I40" s="122"/>
      <c r="J40" s="122"/>
      <c r="K40" s="1261"/>
    </row>
    <row r="41" spans="1:11" x14ac:dyDescent="0.35">
      <c r="A41" s="123" t="s">
        <v>782</v>
      </c>
      <c r="B41" s="257"/>
      <c r="C41" s="257"/>
      <c r="D41" s="257"/>
      <c r="E41" s="257"/>
      <c r="F41" s="1255">
        <f>360+150+300</f>
        <v>810</v>
      </c>
      <c r="G41" s="257"/>
      <c r="H41" s="343"/>
      <c r="I41" s="1255">
        <v>0</v>
      </c>
      <c r="J41" s="257"/>
      <c r="K41" s="343"/>
    </row>
    <row r="42" spans="1:11" x14ac:dyDescent="0.35">
      <c r="A42" s="123" t="s">
        <v>783</v>
      </c>
      <c r="B42" s="257"/>
      <c r="C42" s="257"/>
      <c r="D42" s="257"/>
      <c r="E42" s="257"/>
      <c r="F42" s="1255">
        <v>1200</v>
      </c>
      <c r="G42" s="257"/>
      <c r="H42" s="343"/>
      <c r="I42" s="1255">
        <v>0</v>
      </c>
      <c r="J42" s="257"/>
      <c r="K42" s="343"/>
    </row>
    <row r="43" spans="1:11" x14ac:dyDescent="0.35">
      <c r="A43" s="123" t="s">
        <v>785</v>
      </c>
      <c r="B43" s="257"/>
      <c r="C43" s="257"/>
      <c r="D43" s="257"/>
      <c r="E43" s="257"/>
      <c r="F43" s="1255">
        <v>2000</v>
      </c>
      <c r="G43" s="257"/>
      <c r="H43" s="343"/>
      <c r="I43" s="1255">
        <v>0</v>
      </c>
      <c r="J43" s="257"/>
      <c r="K43" s="343"/>
    </row>
    <row r="44" spans="1:11" x14ac:dyDescent="0.35">
      <c r="A44" s="123" t="s">
        <v>784</v>
      </c>
      <c r="B44" s="257"/>
      <c r="C44" s="257"/>
      <c r="D44" s="257"/>
      <c r="E44" s="257"/>
      <c r="F44" s="1255">
        <v>1000</v>
      </c>
      <c r="G44" s="257"/>
      <c r="H44" s="343"/>
      <c r="I44" s="1255">
        <v>0</v>
      </c>
      <c r="J44" s="257"/>
      <c r="K44" s="343"/>
    </row>
    <row r="45" spans="1:11" x14ac:dyDescent="0.35">
      <c r="A45" s="123" t="s">
        <v>786</v>
      </c>
      <c r="B45" s="257"/>
      <c r="C45" s="257"/>
      <c r="D45" s="257"/>
      <c r="E45" s="257"/>
      <c r="F45" s="1255">
        <v>2300</v>
      </c>
      <c r="G45" s="257"/>
      <c r="H45" s="343"/>
      <c r="I45" s="1255">
        <v>0</v>
      </c>
      <c r="J45" s="257"/>
      <c r="K45" s="343"/>
    </row>
    <row r="46" spans="1:11" x14ac:dyDescent="0.35">
      <c r="A46" s="123" t="s">
        <v>787</v>
      </c>
      <c r="B46" s="257"/>
      <c r="C46" s="257"/>
      <c r="D46" s="257"/>
      <c r="E46" s="257"/>
      <c r="F46" s="1255">
        <v>9500</v>
      </c>
      <c r="G46" s="257"/>
      <c r="H46" s="343"/>
      <c r="I46" s="1255">
        <v>0</v>
      </c>
      <c r="J46" s="257"/>
      <c r="K46" s="343"/>
    </row>
    <row r="47" spans="1:11" x14ac:dyDescent="0.35">
      <c r="A47" s="1274" t="s">
        <v>778</v>
      </c>
      <c r="B47" s="1275"/>
      <c r="C47" s="1275"/>
      <c r="D47" s="1275"/>
      <c r="E47" s="1275"/>
      <c r="F47" s="1276">
        <f>SUM(F40:F46)</f>
        <v>16810</v>
      </c>
      <c r="G47" s="1275"/>
      <c r="H47" s="1277"/>
      <c r="I47" s="1276">
        <f>SUM(I40:I46)</f>
        <v>0</v>
      </c>
      <c r="J47" s="1275"/>
      <c r="K47" s="1277"/>
    </row>
    <row r="49" spans="1:11" x14ac:dyDescent="0.35">
      <c r="A49" s="120" t="s">
        <v>779</v>
      </c>
      <c r="B49" s="122"/>
      <c r="C49" s="122"/>
      <c r="D49" s="122"/>
      <c r="E49" s="122"/>
      <c r="F49" s="122"/>
      <c r="G49" s="122"/>
      <c r="H49" s="1261"/>
      <c r="I49" s="122"/>
      <c r="J49" s="122"/>
      <c r="K49" s="1261"/>
    </row>
    <row r="50" spans="1:11" x14ac:dyDescent="0.35">
      <c r="A50" s="123" t="s">
        <v>788</v>
      </c>
      <c r="B50" s="257"/>
      <c r="C50" s="257"/>
      <c r="D50" s="257"/>
      <c r="E50" s="257"/>
      <c r="F50" s="1255">
        <v>4000</v>
      </c>
      <c r="G50" s="257"/>
      <c r="H50" s="343"/>
      <c r="I50" s="1255">
        <v>0</v>
      </c>
      <c r="J50" s="257"/>
      <c r="K50" s="343"/>
    </row>
    <row r="51" spans="1:11" x14ac:dyDescent="0.35">
      <c r="A51" s="123" t="s">
        <v>789</v>
      </c>
      <c r="B51" s="257"/>
      <c r="C51" s="257"/>
      <c r="D51" s="257"/>
      <c r="E51" s="257"/>
      <c r="F51" s="1255">
        <v>2300</v>
      </c>
      <c r="G51" s="257"/>
      <c r="H51" s="343"/>
      <c r="I51" s="1255">
        <v>0</v>
      </c>
      <c r="J51" s="257"/>
      <c r="K51" s="343"/>
    </row>
    <row r="52" spans="1:11" x14ac:dyDescent="0.35">
      <c r="A52" s="123" t="s">
        <v>790</v>
      </c>
      <c r="B52" s="257"/>
      <c r="C52" s="257"/>
      <c r="D52" s="257"/>
      <c r="E52" s="257"/>
      <c r="F52" s="1255">
        <v>2000</v>
      </c>
      <c r="G52" s="257"/>
      <c r="H52" s="343"/>
      <c r="I52" s="1255">
        <v>0</v>
      </c>
      <c r="J52" s="257"/>
      <c r="K52" s="343"/>
    </row>
    <row r="53" spans="1:11" x14ac:dyDescent="0.35">
      <c r="A53" s="123" t="s">
        <v>791</v>
      </c>
      <c r="B53" s="257"/>
      <c r="C53" s="257"/>
      <c r="D53" s="257"/>
      <c r="E53" s="257"/>
      <c r="F53" s="1255">
        <v>3000</v>
      </c>
      <c r="G53" s="257"/>
      <c r="H53" s="343"/>
      <c r="I53" s="1255">
        <v>0</v>
      </c>
      <c r="J53" s="257"/>
      <c r="K53" s="343"/>
    </row>
    <row r="54" spans="1:11" x14ac:dyDescent="0.35">
      <c r="A54" s="1274" t="s">
        <v>780</v>
      </c>
      <c r="B54" s="1275"/>
      <c r="C54" s="1275"/>
      <c r="D54" s="1275"/>
      <c r="E54" s="1275"/>
      <c r="F54" s="1276">
        <f>SUM(F50:F53)</f>
        <v>11300</v>
      </c>
      <c r="G54" s="1275"/>
      <c r="H54" s="1277"/>
      <c r="I54" s="1276">
        <f>SUM(I50:I53)</f>
        <v>0</v>
      </c>
      <c r="J54" s="1275"/>
      <c r="K54" s="1277"/>
    </row>
  </sheetData>
  <mergeCells count="21">
    <mergeCell ref="G11:H11"/>
    <mergeCell ref="G32:H32"/>
    <mergeCell ref="G34:H34"/>
    <mergeCell ref="G10:H10"/>
    <mergeCell ref="C13:D13"/>
    <mergeCell ref="A2:K2"/>
    <mergeCell ref="J37:K37"/>
    <mergeCell ref="J10:K10"/>
    <mergeCell ref="J11:K11"/>
    <mergeCell ref="J32:K32"/>
    <mergeCell ref="J34:K34"/>
    <mergeCell ref="J36:K36"/>
    <mergeCell ref="G36:H36"/>
    <mergeCell ref="G37:H37"/>
    <mergeCell ref="C5:D5"/>
    <mergeCell ref="C6:D6"/>
    <mergeCell ref="C7:D7"/>
    <mergeCell ref="C8:D8"/>
    <mergeCell ref="C9:D9"/>
    <mergeCell ref="C10:D10"/>
    <mergeCell ref="C11:D11"/>
  </mergeCells>
  <printOptions horizontalCentered="1"/>
  <pageMargins left="0" right="0" top="0.25" bottom="0.25" header="0.3" footer="0.3"/>
  <pageSetup scale="68"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8" workbookViewId="0">
      <selection activeCell="A29" sqref="A29"/>
    </sheetView>
  </sheetViews>
  <sheetFormatPr defaultRowHeight="14.5" x14ac:dyDescent="0.35"/>
  <cols>
    <col min="1" max="1" width="3.6328125" style="949" customWidth="1"/>
    <col min="2" max="2" width="31.81640625" customWidth="1"/>
    <col min="3" max="3" width="10.453125" customWidth="1"/>
    <col min="4" max="4" width="9.36328125" customWidth="1"/>
    <col min="5" max="5" width="12.453125" customWidth="1"/>
  </cols>
  <sheetData>
    <row r="1" spans="1:9" ht="23.5" x14ac:dyDescent="0.55000000000000004">
      <c r="A1" s="1519" t="s">
        <v>688</v>
      </c>
      <c r="B1" s="1519"/>
      <c r="C1" s="1519"/>
      <c r="D1" s="1519"/>
      <c r="E1" s="1519"/>
      <c r="F1" s="1519"/>
      <c r="G1" s="1519"/>
      <c r="H1" s="1519"/>
      <c r="I1" s="1519"/>
    </row>
    <row r="2" spans="1:9" ht="15" thickBot="1" x14ac:dyDescent="0.4"/>
    <row r="3" spans="1:9" ht="25.5" customHeight="1" thickBot="1" x14ac:dyDescent="0.4">
      <c r="A3" s="1237">
        <v>1</v>
      </c>
      <c r="B3" s="1286" t="s">
        <v>616</v>
      </c>
      <c r="C3" s="1286"/>
      <c r="D3" s="1287">
        <v>76000</v>
      </c>
      <c r="E3" s="1288"/>
      <c r="F3" s="1286" t="s">
        <v>749</v>
      </c>
      <c r="G3" s="1286"/>
      <c r="H3" s="1286"/>
      <c r="I3" s="1289"/>
    </row>
    <row r="4" spans="1:9" x14ac:dyDescent="0.35">
      <c r="A4" s="1281"/>
      <c r="B4" s="1111"/>
      <c r="C4" s="1111"/>
      <c r="D4" s="1112"/>
      <c r="E4" s="1121" t="s">
        <v>631</v>
      </c>
      <c r="F4" s="1111"/>
      <c r="G4" s="1111"/>
      <c r="H4" s="1111"/>
      <c r="I4" s="1113"/>
    </row>
    <row r="5" spans="1:9" x14ac:dyDescent="0.35">
      <c r="A5" s="1518">
        <v>2</v>
      </c>
      <c r="B5" s="1516" t="s">
        <v>84</v>
      </c>
      <c r="C5" s="1290"/>
      <c r="D5" s="1517"/>
      <c r="E5" s="1114">
        <f>(480000*0.06)-'New Year-Full Year'!R27</f>
        <v>10550</v>
      </c>
      <c r="F5" s="616" t="s">
        <v>617</v>
      </c>
      <c r="G5" s="616"/>
      <c r="H5" s="616"/>
      <c r="I5" s="1115"/>
    </row>
    <row r="6" spans="1:9" x14ac:dyDescent="0.35">
      <c r="A6" s="1518"/>
      <c r="B6" s="1516"/>
      <c r="C6" s="1290"/>
      <c r="D6" s="1517"/>
      <c r="E6" s="1114">
        <f>(480000*0.08)-'New Year-Full Year'!R27</f>
        <v>20150</v>
      </c>
      <c r="F6" s="616" t="s">
        <v>618</v>
      </c>
      <c r="G6" s="616"/>
      <c r="H6" s="616"/>
      <c r="I6" s="1115"/>
    </row>
    <row r="7" spans="1:9" x14ac:dyDescent="0.35">
      <c r="A7" s="1518"/>
      <c r="B7" s="1516"/>
      <c r="C7" s="1290"/>
      <c r="D7" s="1517"/>
      <c r="E7" s="1114">
        <f>(480000*0.1)-'New Year-Full Year'!R27</f>
        <v>29750</v>
      </c>
      <c r="F7" s="616" t="s">
        <v>619</v>
      </c>
      <c r="G7" s="616"/>
      <c r="H7" s="616"/>
      <c r="I7" s="1115"/>
    </row>
    <row r="8" spans="1:9" x14ac:dyDescent="0.35">
      <c r="A8" s="1282"/>
      <c r="B8" s="1219"/>
      <c r="C8" s="1219"/>
      <c r="D8" s="1220"/>
      <c r="E8" s="1114"/>
      <c r="F8" s="616"/>
      <c r="G8" s="616"/>
      <c r="H8" s="616"/>
      <c r="I8" s="1115"/>
    </row>
    <row r="9" spans="1:9" ht="44" customHeight="1" x14ac:dyDescent="0.35">
      <c r="A9" s="1283"/>
      <c r="B9" s="1131" t="s">
        <v>634</v>
      </c>
      <c r="C9" s="1242" t="s">
        <v>560</v>
      </c>
      <c r="D9" s="1243" t="s">
        <v>793</v>
      </c>
      <c r="E9" s="1240" t="s">
        <v>751</v>
      </c>
      <c r="F9" s="616"/>
      <c r="G9" s="1242" t="s">
        <v>686</v>
      </c>
      <c r="H9" s="616"/>
      <c r="I9" s="1115"/>
    </row>
    <row r="10" spans="1:9" x14ac:dyDescent="0.35">
      <c r="A10" s="1283"/>
      <c r="B10" s="635" t="s">
        <v>750</v>
      </c>
      <c r="C10" s="1116">
        <v>17150</v>
      </c>
      <c r="D10" s="1116">
        <f>20000-C10</f>
        <v>2850</v>
      </c>
      <c r="E10" s="1241">
        <f>+C10+D10</f>
        <v>20000</v>
      </c>
      <c r="F10" s="616"/>
      <c r="G10" s="1116">
        <v>10000</v>
      </c>
      <c r="H10" s="616"/>
      <c r="I10" s="1115"/>
    </row>
    <row r="11" spans="1:9" x14ac:dyDescent="0.35">
      <c r="A11" s="1283"/>
      <c r="B11" s="616" t="s">
        <v>249</v>
      </c>
      <c r="C11" s="1116">
        <v>500</v>
      </c>
      <c r="D11" s="1116">
        <f>+ROUNDUP((E$7-2850)/5,-2)</f>
        <v>5400</v>
      </c>
      <c r="E11" s="1241">
        <f t="shared" ref="E11:E20" si="0">+C11+D11</f>
        <v>5900</v>
      </c>
      <c r="F11" s="616"/>
      <c r="G11" s="1116">
        <v>500</v>
      </c>
      <c r="H11" s="616"/>
      <c r="I11" s="1115"/>
    </row>
    <row r="12" spans="1:9" x14ac:dyDescent="0.35">
      <c r="A12" s="1283"/>
      <c r="B12" s="616" t="s">
        <v>632</v>
      </c>
      <c r="C12" s="1116">
        <v>1500</v>
      </c>
      <c r="D12" s="1116">
        <v>0</v>
      </c>
      <c r="E12" s="1241">
        <f t="shared" si="0"/>
        <v>1500</v>
      </c>
      <c r="F12" s="616"/>
      <c r="G12" s="1116">
        <v>1500</v>
      </c>
      <c r="H12" s="616"/>
      <c r="I12" s="1115"/>
    </row>
    <row r="13" spans="1:9" x14ac:dyDescent="0.35">
      <c r="A13" s="1283"/>
      <c r="B13" s="616" t="s">
        <v>515</v>
      </c>
      <c r="C13" s="1116">
        <v>750</v>
      </c>
      <c r="D13" s="1116">
        <v>0</v>
      </c>
      <c r="E13" s="1241">
        <f t="shared" si="0"/>
        <v>750</v>
      </c>
      <c r="F13" s="616"/>
      <c r="G13" s="1116">
        <v>750</v>
      </c>
      <c r="H13" s="616"/>
      <c r="I13" s="1115"/>
    </row>
    <row r="14" spans="1:9" x14ac:dyDescent="0.35">
      <c r="A14" s="1283"/>
      <c r="B14" s="616" t="s">
        <v>514</v>
      </c>
      <c r="C14" s="1116">
        <v>1000</v>
      </c>
      <c r="D14" s="1116">
        <v>0</v>
      </c>
      <c r="E14" s="1241">
        <f t="shared" si="0"/>
        <v>1000</v>
      </c>
      <c r="F14" s="616"/>
      <c r="G14" s="1116">
        <v>500</v>
      </c>
      <c r="H14" s="616"/>
      <c r="I14" s="1115"/>
    </row>
    <row r="15" spans="1:9" x14ac:dyDescent="0.35">
      <c r="A15" s="1283"/>
      <c r="B15" s="1239" t="s">
        <v>226</v>
      </c>
      <c r="C15" s="1116">
        <v>0</v>
      </c>
      <c r="D15" s="1116">
        <f>+ROUNDUP((E$7-2850)/5,-2)</f>
        <v>5400</v>
      </c>
      <c r="E15" s="1241">
        <f t="shared" si="0"/>
        <v>5400</v>
      </c>
      <c r="F15" s="616"/>
      <c r="G15" s="1116">
        <v>500</v>
      </c>
      <c r="H15" s="616"/>
      <c r="I15" s="1115"/>
    </row>
    <row r="16" spans="1:9" x14ac:dyDescent="0.35">
      <c r="A16" s="1283"/>
      <c r="B16" s="1239" t="s">
        <v>720</v>
      </c>
      <c r="C16" s="1116">
        <v>0</v>
      </c>
      <c r="D16" s="1116">
        <v>0</v>
      </c>
      <c r="E16" s="1241">
        <f t="shared" ref="E16" si="1">+C16+D16</f>
        <v>0</v>
      </c>
      <c r="F16" s="616"/>
      <c r="G16" s="1116">
        <v>500</v>
      </c>
      <c r="H16" s="616" t="s">
        <v>794</v>
      </c>
      <c r="I16" s="1115"/>
    </row>
    <row r="17" spans="1:9" x14ac:dyDescent="0.35">
      <c r="A17" s="1283"/>
      <c r="B17" s="616" t="s">
        <v>622</v>
      </c>
      <c r="C17" s="1116">
        <v>1000</v>
      </c>
      <c r="D17" s="1116">
        <f>+ROUNDUP((E$7-2850)/5,-2)</f>
        <v>5400</v>
      </c>
      <c r="E17" s="1241">
        <f t="shared" si="0"/>
        <v>6400</v>
      </c>
      <c r="F17" s="616"/>
      <c r="G17" s="1116">
        <v>1000</v>
      </c>
      <c r="H17" s="616"/>
      <c r="I17" s="1115"/>
    </row>
    <row r="18" spans="1:9" x14ac:dyDescent="0.35">
      <c r="A18" s="1283"/>
      <c r="B18" s="616" t="s">
        <v>252</v>
      </c>
      <c r="C18" s="1116">
        <v>1000</v>
      </c>
      <c r="D18" s="1116">
        <f>+ROUNDUP((E$7-2850)/5,-2)</f>
        <v>5400</v>
      </c>
      <c r="E18" s="1241">
        <f t="shared" si="0"/>
        <v>6400</v>
      </c>
      <c r="F18" s="616"/>
      <c r="G18" s="1116">
        <v>1000</v>
      </c>
      <c r="H18" s="616"/>
      <c r="I18" s="1115"/>
    </row>
    <row r="19" spans="1:9" x14ac:dyDescent="0.35">
      <c r="A19" s="1283"/>
      <c r="B19" s="616" t="s">
        <v>373</v>
      </c>
      <c r="C19" s="1116">
        <v>1000</v>
      </c>
      <c r="D19" s="1116">
        <v>0</v>
      </c>
      <c r="E19" s="1241">
        <f t="shared" si="0"/>
        <v>1000</v>
      </c>
      <c r="F19" s="616"/>
      <c r="G19" s="1116">
        <v>1000</v>
      </c>
      <c r="H19" s="616"/>
      <c r="I19" s="1115"/>
    </row>
    <row r="20" spans="1:9" x14ac:dyDescent="0.35">
      <c r="A20" s="1283"/>
      <c r="B20" s="616" t="s">
        <v>254</v>
      </c>
      <c r="C20" s="1116">
        <v>1000</v>
      </c>
      <c r="D20" s="1116">
        <f>+ROUNDUP((E$7-2850)/5,-2)</f>
        <v>5400</v>
      </c>
      <c r="E20" s="1241">
        <f t="shared" si="0"/>
        <v>6400</v>
      </c>
      <c r="F20" s="616"/>
      <c r="G20" s="1116">
        <v>1000</v>
      </c>
      <c r="H20" s="616"/>
      <c r="I20" s="1115"/>
    </row>
    <row r="21" spans="1:9" ht="15" thickBot="1" x14ac:dyDescent="0.4">
      <c r="A21" s="1284"/>
      <c r="B21" s="1117" t="s">
        <v>635</v>
      </c>
      <c r="C21" s="1118">
        <f>SUM(C10:C20)</f>
        <v>24900</v>
      </c>
      <c r="D21" s="1118">
        <f t="shared" ref="D21:E21" si="2">SUM(D10:D20)</f>
        <v>29850</v>
      </c>
      <c r="E21" s="1118">
        <f t="shared" si="2"/>
        <v>54750</v>
      </c>
      <c r="F21" s="1119"/>
      <c r="G21" s="1118">
        <f>SUM(G10:G20)</f>
        <v>18250</v>
      </c>
      <c r="H21" s="1119"/>
      <c r="I21" s="1120"/>
    </row>
    <row r="22" spans="1:9" ht="25.5" customHeight="1" thickBot="1" x14ac:dyDescent="0.4">
      <c r="A22" s="1237">
        <v>3</v>
      </c>
      <c r="B22" s="1238" t="s">
        <v>615</v>
      </c>
      <c r="C22" s="1238"/>
      <c r="D22" s="1304">
        <v>1000</v>
      </c>
      <c r="E22" s="1128"/>
      <c r="F22" s="1129"/>
      <c r="G22" s="1129"/>
      <c r="H22" s="1129"/>
      <c r="I22" s="1130"/>
    </row>
    <row r="23" spans="1:9" ht="25.5" customHeight="1" thickBot="1" x14ac:dyDescent="0.4">
      <c r="A23" s="1285">
        <v>4</v>
      </c>
      <c r="B23" s="1305" t="s">
        <v>795</v>
      </c>
      <c r="C23" s="1305"/>
      <c r="D23" s="1306">
        <v>16810</v>
      </c>
      <c r="E23" s="1123" t="s">
        <v>796</v>
      </c>
      <c r="F23" s="870"/>
      <c r="G23" s="870"/>
      <c r="H23" s="870"/>
      <c r="I23" s="871"/>
    </row>
    <row r="24" spans="1:9" ht="25.5" customHeight="1" thickBot="1" x14ac:dyDescent="0.4">
      <c r="A24" s="1280">
        <v>5</v>
      </c>
      <c r="B24" s="1124"/>
      <c r="C24" s="1124"/>
      <c r="D24" s="1125">
        <v>0</v>
      </c>
      <c r="E24" s="1126"/>
      <c r="F24" s="1124"/>
      <c r="G24" s="1124"/>
      <c r="H24" s="1124"/>
      <c r="I24" s="1127"/>
    </row>
    <row r="25" spans="1:9" ht="25.5" customHeight="1" thickBot="1" x14ac:dyDescent="0.4">
      <c r="A25" s="1285">
        <v>6</v>
      </c>
      <c r="B25" s="870"/>
      <c r="C25" s="870"/>
      <c r="D25" s="1122"/>
      <c r="E25" s="1123"/>
      <c r="F25" s="870"/>
      <c r="G25" s="870"/>
      <c r="H25" s="870"/>
      <c r="I25" s="871"/>
    </row>
    <row r="26" spans="1:9" ht="25.5" customHeight="1" thickBot="1" x14ac:dyDescent="0.4">
      <c r="A26" s="1291">
        <v>7</v>
      </c>
      <c r="B26" s="1292" t="s">
        <v>620</v>
      </c>
      <c r="C26" s="1292"/>
      <c r="D26" s="1293">
        <f>D3-SUM(D21:D25)</f>
        <v>28340</v>
      </c>
      <c r="E26" s="1293" t="s">
        <v>633</v>
      </c>
      <c r="F26" s="1292"/>
      <c r="G26" s="1292"/>
      <c r="H26" s="1292"/>
      <c r="I26" s="1294"/>
    </row>
  </sheetData>
  <mergeCells count="4">
    <mergeCell ref="B5:B7"/>
    <mergeCell ref="D5:D7"/>
    <mergeCell ref="A5:A7"/>
    <mergeCell ref="A1:I1"/>
  </mergeCells>
  <printOptions horizontalCentered="1"/>
  <pageMargins left="0" right="0"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topLeftCell="A13" workbookViewId="0">
      <selection activeCell="B29" sqref="B29"/>
    </sheetView>
  </sheetViews>
  <sheetFormatPr defaultRowHeight="14.5" x14ac:dyDescent="0.35"/>
  <cols>
    <col min="1" max="1" width="8.7265625" style="1311"/>
    <col min="2" max="2" width="78.36328125" style="1253" customWidth="1"/>
  </cols>
  <sheetData>
    <row r="1" spans="1:2" ht="18.5" x14ac:dyDescent="0.35">
      <c r="A1" s="1310" t="s">
        <v>869</v>
      </c>
    </row>
    <row r="2" spans="1:2" ht="15" thickBot="1" x14ac:dyDescent="0.4"/>
    <row r="3" spans="1:2" ht="32" customHeight="1" x14ac:dyDescent="0.35">
      <c r="A3" s="1318">
        <v>1</v>
      </c>
      <c r="B3" s="1319" t="s">
        <v>797</v>
      </c>
    </row>
    <row r="4" spans="1:2" ht="32" customHeight="1" x14ac:dyDescent="0.35">
      <c r="A4" s="1320">
        <v>2</v>
      </c>
      <c r="B4" s="1321" t="s">
        <v>870</v>
      </c>
    </row>
    <row r="5" spans="1:2" ht="32" customHeight="1" x14ac:dyDescent="0.35">
      <c r="A5" s="1320">
        <v>3</v>
      </c>
      <c r="B5" s="1321"/>
    </row>
    <row r="6" spans="1:2" ht="32" customHeight="1" x14ac:dyDescent="0.35">
      <c r="A6" s="1320">
        <v>4</v>
      </c>
      <c r="B6" s="1321"/>
    </row>
    <row r="7" spans="1:2" ht="32" customHeight="1" x14ac:dyDescent="0.35">
      <c r="A7" s="1320">
        <v>5</v>
      </c>
      <c r="B7" s="1322"/>
    </row>
    <row r="8" spans="1:2" ht="32" customHeight="1" x14ac:dyDescent="0.35">
      <c r="A8" s="1320">
        <v>6</v>
      </c>
      <c r="B8" s="1321" t="s">
        <v>798</v>
      </c>
    </row>
    <row r="9" spans="1:2" ht="32" customHeight="1" x14ac:dyDescent="0.35">
      <c r="A9" s="1320">
        <v>7</v>
      </c>
      <c r="B9" s="1322"/>
    </row>
    <row r="10" spans="1:2" ht="32" customHeight="1" x14ac:dyDescent="0.35">
      <c r="A10" s="1320">
        <v>8</v>
      </c>
      <c r="B10" s="1321"/>
    </row>
    <row r="11" spans="1:2" ht="32" customHeight="1" x14ac:dyDescent="0.35">
      <c r="A11" s="1320">
        <v>9</v>
      </c>
      <c r="B11" s="1322"/>
    </row>
    <row r="12" spans="1:2" ht="32" customHeight="1" x14ac:dyDescent="0.35">
      <c r="A12" s="1320">
        <v>10</v>
      </c>
      <c r="B12" s="1321" t="s">
        <v>799</v>
      </c>
    </row>
    <row r="13" spans="1:2" ht="15.5" customHeight="1" x14ac:dyDescent="0.35">
      <c r="A13" s="1323">
        <v>11</v>
      </c>
      <c r="B13" s="1324" t="s">
        <v>800</v>
      </c>
    </row>
    <row r="14" spans="1:2" x14ac:dyDescent="0.35">
      <c r="A14" s="1314"/>
      <c r="B14" s="1315" t="s">
        <v>801</v>
      </c>
    </row>
    <row r="15" spans="1:2" ht="15" thickBot="1" x14ac:dyDescent="0.4">
      <c r="A15" s="1316"/>
      <c r="B15" s="1317" t="s">
        <v>802</v>
      </c>
    </row>
    <row r="18" spans="1:2" ht="19" thickBot="1" x14ac:dyDescent="0.4">
      <c r="A18" s="1309">
        <v>2026</v>
      </c>
    </row>
    <row r="19" spans="1:2" x14ac:dyDescent="0.35">
      <c r="A19" s="1312">
        <v>1</v>
      </c>
      <c r="B19" s="1313"/>
    </row>
    <row r="20" spans="1:2" x14ac:dyDescent="0.35">
      <c r="A20" s="1314"/>
      <c r="B20" s="1315"/>
    </row>
    <row r="21" spans="1:2" x14ac:dyDescent="0.35">
      <c r="A21" s="1314"/>
      <c r="B21" s="1315"/>
    </row>
    <row r="22" spans="1:2" x14ac:dyDescent="0.35">
      <c r="A22" s="1314"/>
      <c r="B22" s="1315"/>
    </row>
    <row r="23" spans="1:2" x14ac:dyDescent="0.35">
      <c r="A23" s="1314"/>
      <c r="B23" s="1315"/>
    </row>
    <row r="24" spans="1:2" x14ac:dyDescent="0.35">
      <c r="A24" s="1314"/>
      <c r="B24" s="1315"/>
    </row>
    <row r="25" spans="1:2" x14ac:dyDescent="0.35">
      <c r="A25" s="1314"/>
      <c r="B25" s="1315"/>
    </row>
    <row r="26" spans="1:2" x14ac:dyDescent="0.35">
      <c r="A26" s="1325"/>
      <c r="B26" s="1326"/>
    </row>
    <row r="27" spans="1:2" ht="29.5" customHeight="1" thickBot="1" x14ac:dyDescent="0.4">
      <c r="A27" s="1316">
        <v>2</v>
      </c>
      <c r="B27" s="1317" t="s">
        <v>803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31</vt:i4>
      </vt:variant>
      <vt:variant>
        <vt:lpstr>Charts</vt:lpstr>
      </vt:variant>
      <vt:variant>
        <vt:i4>1</vt:i4>
      </vt:variant>
      <vt:variant>
        <vt:lpstr>Named Ranges</vt:lpstr>
      </vt:variant>
      <vt:variant>
        <vt:i4>5</vt:i4>
      </vt:variant>
    </vt:vector>
  </HeadingPairs>
  <TitlesOfParts>
    <vt:vector size="37" baseType="lpstr">
      <vt:lpstr>Top Sheet</vt:lpstr>
      <vt:lpstr>Summary New Year</vt:lpstr>
      <vt:lpstr>Annual Report</vt:lpstr>
      <vt:lpstr>New Year-Full Year</vt:lpstr>
      <vt:lpstr>Analysis of Rates</vt:lpstr>
      <vt:lpstr>Technology</vt:lpstr>
      <vt:lpstr>Tech Budget</vt:lpstr>
      <vt:lpstr>Year End Overage</vt:lpstr>
      <vt:lpstr>Year End tasks</vt:lpstr>
      <vt:lpstr>John</vt:lpstr>
      <vt:lpstr>John - Housing</vt:lpstr>
      <vt:lpstr>Ryan</vt:lpstr>
      <vt:lpstr>Ryan - Housing</vt:lpstr>
      <vt:lpstr>Ryan G - First Pay</vt:lpstr>
      <vt:lpstr>Band and Other Music</vt:lpstr>
      <vt:lpstr>Income Pacing</vt:lpstr>
      <vt:lpstr>Staff section for Cheryl</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'Staff section for Cheryl'!Print_Titles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2025-10-01T21:15:57Z</cp:lastPrinted>
  <dcterms:created xsi:type="dcterms:W3CDTF">2011-12-01T18:07:46Z</dcterms:created>
  <dcterms:modified xsi:type="dcterms:W3CDTF">2025-10-02T19:05:25Z</dcterms:modified>
</cp:coreProperties>
</file>